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genglehart\Desktop\Current Projects\CEC\"/>
    </mc:Choice>
  </mc:AlternateContent>
  <xr:revisionPtr revIDLastSave="0" documentId="8_{24837B52-2830-44FE-B4E3-F93F48D844AF}" xr6:coauthVersionLast="45" xr6:coauthVersionMax="45" xr10:uidLastSave="{00000000-0000-0000-0000-000000000000}"/>
  <bookViews>
    <workbookView xWindow="-110" yWindow="-110" windowWidth="19420" windowHeight="10420" xr2:uid="{EBCEAF9A-04C3-4257-B230-27CD95D9A56A}"/>
  </bookViews>
  <sheets>
    <sheet name="ReadMe" sheetId="5" r:id="rId1"/>
    <sheet name="Inputs" sheetId="3" r:id="rId2"/>
    <sheet name="Outputs" sheetId="7" r:id="rId3"/>
    <sheet name="Calculations" sheetId="6" r:id="rId4"/>
    <sheet name="Capex" sheetId="4" r:id="rId5"/>
    <sheet name="Lifetime Cycles" sheetId="9" r:id="rId6"/>
    <sheet name="Discharge Scenario" sheetId="8" r:id="rId7"/>
    <sheet name="Selected Forward Price" sheetId="12" r:id="rId8"/>
    <sheet name="Forward Price Ratios" sheetId="13"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7" l="1"/>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16" i="7"/>
  <c r="C14" i="6" l="1"/>
  <c r="E12" i="7"/>
  <c r="D7" i="12" l="1"/>
  <c r="E7" i="12" s="1"/>
  <c r="F7" i="12" s="1"/>
  <c r="G7" i="12" s="1"/>
  <c r="H7" i="12" s="1"/>
  <c r="I7" i="12" s="1"/>
  <c r="J7" i="12" s="1"/>
  <c r="K7" i="12" s="1"/>
  <c r="L7" i="12" s="1"/>
  <c r="M7" i="12" s="1"/>
  <c r="N7" i="12" s="1"/>
  <c r="O7" i="12" s="1"/>
  <c r="P7" i="12" s="1"/>
  <c r="Q7" i="12" s="1"/>
  <c r="R7" i="12" s="1"/>
  <c r="S7" i="12" s="1"/>
  <c r="T7" i="12" s="1"/>
  <c r="U7" i="12" s="1"/>
  <c r="V7" i="12" s="1"/>
  <c r="W7" i="12" s="1"/>
  <c r="X7" i="12" s="1"/>
  <c r="Y7" i="12" s="1"/>
  <c r="Z7" i="12" s="1"/>
  <c r="AA7" i="12" s="1"/>
  <c r="AB7" i="12" s="1"/>
  <c r="AC7" i="12" s="1"/>
  <c r="AD7" i="12" s="1"/>
  <c r="AE7" i="12" s="1"/>
  <c r="O20" i="6" l="1"/>
  <c r="C45" i="13" l="1"/>
  <c r="B2" i="12"/>
  <c r="B8" i="6"/>
  <c r="D5" i="13"/>
  <c r="E5" i="13" s="1"/>
  <c r="C25" i="13"/>
  <c r="D25" i="13"/>
  <c r="E25" i="13"/>
  <c r="F25" i="13"/>
  <c r="F27" i="13" s="1"/>
  <c r="G25" i="13"/>
  <c r="H25" i="13"/>
  <c r="H27" i="13" s="1"/>
  <c r="I25" i="13"/>
  <c r="J25" i="13"/>
  <c r="K25" i="13"/>
  <c r="L25" i="13"/>
  <c r="M25" i="13"/>
  <c r="N25" i="13"/>
  <c r="N27" i="13" s="1"/>
  <c r="O25" i="13"/>
  <c r="P25" i="13"/>
  <c r="P27" i="13" s="1"/>
  <c r="Q25" i="13"/>
  <c r="R25" i="13"/>
  <c r="S25" i="13"/>
  <c r="T25" i="13"/>
  <c r="U25" i="13"/>
  <c r="V25" i="13"/>
  <c r="V27" i="13" s="1"/>
  <c r="W25" i="13"/>
  <c r="X25" i="13"/>
  <c r="X27" i="13" s="1"/>
  <c r="Y25" i="13"/>
  <c r="Z25" i="13"/>
  <c r="AA25" i="13"/>
  <c r="AB25" i="13"/>
  <c r="AC25" i="13"/>
  <c r="AD25" i="13"/>
  <c r="AD27" i="13" s="1"/>
  <c r="AE25" i="13"/>
  <c r="C26" i="13"/>
  <c r="C27" i="13" s="1"/>
  <c r="D26" i="13"/>
  <c r="E26" i="13"/>
  <c r="F26" i="13"/>
  <c r="G26" i="13"/>
  <c r="H26" i="13"/>
  <c r="I26" i="13"/>
  <c r="I27" i="13" s="1"/>
  <c r="J26" i="13"/>
  <c r="K26" i="13"/>
  <c r="K27" i="13" s="1"/>
  <c r="L26" i="13"/>
  <c r="M26" i="13"/>
  <c r="N26" i="13"/>
  <c r="O26" i="13"/>
  <c r="P26" i="13"/>
  <c r="Q26" i="13"/>
  <c r="Q27" i="13" s="1"/>
  <c r="R26" i="13"/>
  <c r="S26" i="13"/>
  <c r="S27" i="13" s="1"/>
  <c r="T26" i="13"/>
  <c r="U26" i="13"/>
  <c r="V26" i="13"/>
  <c r="W26" i="13"/>
  <c r="X26" i="13"/>
  <c r="Y26" i="13"/>
  <c r="Y27" i="13" s="1"/>
  <c r="Z26" i="13"/>
  <c r="AA26" i="13"/>
  <c r="AA27" i="13" s="1"/>
  <c r="AB26" i="13"/>
  <c r="AC26" i="13"/>
  <c r="AD26" i="13"/>
  <c r="AE26" i="13"/>
  <c r="D27" i="13"/>
  <c r="E27" i="13"/>
  <c r="G27" i="13"/>
  <c r="J27" i="13"/>
  <c r="L27" i="13"/>
  <c r="M27" i="13"/>
  <c r="O27" i="13"/>
  <c r="R27" i="13"/>
  <c r="T27" i="13"/>
  <c r="U27" i="13"/>
  <c r="W27" i="13"/>
  <c r="Z27" i="13"/>
  <c r="AB27" i="13"/>
  <c r="AC27" i="13"/>
  <c r="AE27" i="13"/>
  <c r="C29" i="13"/>
  <c r="D29" i="13"/>
  <c r="E29" i="13"/>
  <c r="F29" i="13"/>
  <c r="G29" i="13"/>
  <c r="G31" i="13" s="1"/>
  <c r="H29" i="13"/>
  <c r="I29" i="13"/>
  <c r="I31" i="13" s="1"/>
  <c r="J29" i="13"/>
  <c r="K29" i="13"/>
  <c r="L29" i="13"/>
  <c r="M29" i="13"/>
  <c r="N29" i="13"/>
  <c r="O29" i="13"/>
  <c r="O31" i="13" s="1"/>
  <c r="P29" i="13"/>
  <c r="Q29" i="13"/>
  <c r="Q31" i="13" s="1"/>
  <c r="R29" i="13"/>
  <c r="S29" i="13"/>
  <c r="T29" i="13"/>
  <c r="U29" i="13"/>
  <c r="V29" i="13"/>
  <c r="W29" i="13"/>
  <c r="W31" i="13" s="1"/>
  <c r="X29" i="13"/>
  <c r="Y29" i="13"/>
  <c r="Y31" i="13" s="1"/>
  <c r="Z29" i="13"/>
  <c r="AA29" i="13"/>
  <c r="AB29" i="13"/>
  <c r="AC29" i="13"/>
  <c r="AD29" i="13"/>
  <c r="AE29" i="13"/>
  <c r="AE31" i="13" s="1"/>
  <c r="C30" i="13"/>
  <c r="D30" i="13"/>
  <c r="D31" i="13" s="1"/>
  <c r="E30" i="13"/>
  <c r="F30" i="13"/>
  <c r="G30" i="13"/>
  <c r="H30" i="13"/>
  <c r="I30" i="13"/>
  <c r="J30" i="13"/>
  <c r="J31" i="13" s="1"/>
  <c r="K30" i="13"/>
  <c r="L30" i="13"/>
  <c r="L31" i="13" s="1"/>
  <c r="M30" i="13"/>
  <c r="N30" i="13"/>
  <c r="O30" i="13"/>
  <c r="P30" i="13"/>
  <c r="Q30" i="13"/>
  <c r="R30" i="13"/>
  <c r="R31" i="13" s="1"/>
  <c r="S30" i="13"/>
  <c r="T30" i="13"/>
  <c r="T31" i="13" s="1"/>
  <c r="U30" i="13"/>
  <c r="V30" i="13"/>
  <c r="W30" i="13"/>
  <c r="X30" i="13"/>
  <c r="Y30" i="13"/>
  <c r="Z30" i="13"/>
  <c r="Z31" i="13" s="1"/>
  <c r="AA30" i="13"/>
  <c r="AB30" i="13"/>
  <c r="AB31" i="13" s="1"/>
  <c r="AC30" i="13"/>
  <c r="AD30" i="13"/>
  <c r="AE30" i="13"/>
  <c r="C31" i="13"/>
  <c r="E31" i="13"/>
  <c r="F31" i="13"/>
  <c r="H31" i="13"/>
  <c r="K31" i="13"/>
  <c r="M31" i="13"/>
  <c r="N31" i="13"/>
  <c r="P31" i="13"/>
  <c r="S31" i="13"/>
  <c r="U31" i="13"/>
  <c r="V31" i="13"/>
  <c r="X31" i="13"/>
  <c r="AA31" i="13"/>
  <c r="AC31" i="13"/>
  <c r="AD31" i="13"/>
  <c r="C33" i="13"/>
  <c r="D33" i="13"/>
  <c r="E33" i="13"/>
  <c r="F33" i="13"/>
  <c r="G33" i="13"/>
  <c r="H33" i="13"/>
  <c r="H35" i="13" s="1"/>
  <c r="I33" i="13"/>
  <c r="J33" i="13"/>
  <c r="J35" i="13" s="1"/>
  <c r="K33" i="13"/>
  <c r="L33" i="13"/>
  <c r="M33" i="13"/>
  <c r="N33" i="13"/>
  <c r="O33" i="13"/>
  <c r="P33" i="13"/>
  <c r="P35" i="13" s="1"/>
  <c r="Q33" i="13"/>
  <c r="R33" i="13"/>
  <c r="R35" i="13" s="1"/>
  <c r="S33" i="13"/>
  <c r="T33" i="13"/>
  <c r="U33" i="13"/>
  <c r="V33" i="13"/>
  <c r="W33" i="13"/>
  <c r="X33" i="13"/>
  <c r="X35" i="13" s="1"/>
  <c r="Y33" i="13"/>
  <c r="Z33" i="13"/>
  <c r="Z35" i="13" s="1"/>
  <c r="AA33" i="13"/>
  <c r="AB33" i="13"/>
  <c r="AC33" i="13"/>
  <c r="AD33" i="13"/>
  <c r="AE33" i="13"/>
  <c r="C34" i="13"/>
  <c r="C35" i="13" s="1"/>
  <c r="D34" i="13"/>
  <c r="E34" i="13"/>
  <c r="E35" i="13" s="1"/>
  <c r="F34" i="13"/>
  <c r="G34" i="13"/>
  <c r="H34" i="13"/>
  <c r="I34" i="13"/>
  <c r="J34" i="13"/>
  <c r="K34" i="13"/>
  <c r="K35" i="13" s="1"/>
  <c r="L34" i="13"/>
  <c r="M34" i="13"/>
  <c r="M35" i="13" s="1"/>
  <c r="N34" i="13"/>
  <c r="O34" i="13"/>
  <c r="P34" i="13"/>
  <c r="Q34" i="13"/>
  <c r="R34" i="13"/>
  <c r="S34" i="13"/>
  <c r="S35" i="13" s="1"/>
  <c r="T34" i="13"/>
  <c r="U34" i="13"/>
  <c r="U35" i="13" s="1"/>
  <c r="V34" i="13"/>
  <c r="W34" i="13"/>
  <c r="X34" i="13"/>
  <c r="Y34" i="13"/>
  <c r="Z34" i="13"/>
  <c r="AA34" i="13"/>
  <c r="AA35" i="13" s="1"/>
  <c r="AB34" i="13"/>
  <c r="AC34" i="13"/>
  <c r="AC35" i="13" s="1"/>
  <c r="AD34" i="13"/>
  <c r="AE34" i="13"/>
  <c r="D35" i="13"/>
  <c r="F35" i="13"/>
  <c r="G35" i="13"/>
  <c r="I35" i="13"/>
  <c r="L35" i="13"/>
  <c r="N35" i="13"/>
  <c r="O35" i="13"/>
  <c r="Q35" i="13"/>
  <c r="T35" i="13"/>
  <c r="V35" i="13"/>
  <c r="W35" i="13"/>
  <c r="Y35" i="13"/>
  <c r="AB35" i="13"/>
  <c r="AD35" i="13"/>
  <c r="AE35" i="13"/>
  <c r="C37" i="13"/>
  <c r="C39" i="13" s="1"/>
  <c r="D37" i="13"/>
  <c r="E37" i="13"/>
  <c r="F37" i="13"/>
  <c r="G37" i="13"/>
  <c r="H37" i="13"/>
  <c r="I37" i="13"/>
  <c r="I39" i="13" s="1"/>
  <c r="J37" i="13"/>
  <c r="K37" i="13"/>
  <c r="K39" i="13" s="1"/>
  <c r="L37" i="13"/>
  <c r="M37" i="13"/>
  <c r="N37" i="13"/>
  <c r="O37" i="13"/>
  <c r="P37" i="13"/>
  <c r="Q37" i="13"/>
  <c r="Q39" i="13" s="1"/>
  <c r="R37" i="13"/>
  <c r="S37" i="13"/>
  <c r="S39" i="13" s="1"/>
  <c r="T37" i="13"/>
  <c r="U37" i="13"/>
  <c r="V37" i="13"/>
  <c r="W37" i="13"/>
  <c r="X37" i="13"/>
  <c r="Y37" i="13"/>
  <c r="Y39" i="13" s="1"/>
  <c r="Z37" i="13"/>
  <c r="AA37" i="13"/>
  <c r="AA39" i="13" s="1"/>
  <c r="AB37" i="13"/>
  <c r="AC37" i="13"/>
  <c r="AD37" i="13"/>
  <c r="AE37" i="13"/>
  <c r="C38" i="13"/>
  <c r="D38" i="13"/>
  <c r="D39" i="13" s="1"/>
  <c r="E38" i="13"/>
  <c r="F38" i="13"/>
  <c r="F39" i="13" s="1"/>
  <c r="G38" i="13"/>
  <c r="H38" i="13"/>
  <c r="I38" i="13"/>
  <c r="J38" i="13"/>
  <c r="K38" i="13"/>
  <c r="L38" i="13"/>
  <c r="L39" i="13" s="1"/>
  <c r="M38" i="13"/>
  <c r="N38" i="13"/>
  <c r="N39" i="13" s="1"/>
  <c r="O38" i="13"/>
  <c r="P38" i="13"/>
  <c r="Q38" i="13"/>
  <c r="R38" i="13"/>
  <c r="S38" i="13"/>
  <c r="T38" i="13"/>
  <c r="T39" i="13" s="1"/>
  <c r="U38" i="13"/>
  <c r="V38" i="13"/>
  <c r="V39" i="13" s="1"/>
  <c r="W38" i="13"/>
  <c r="X38" i="13"/>
  <c r="Y38" i="13"/>
  <c r="Z38" i="13"/>
  <c r="AA38" i="13"/>
  <c r="AB38" i="13"/>
  <c r="AB39" i="13" s="1"/>
  <c r="AC38" i="13"/>
  <c r="AD38" i="13"/>
  <c r="AD39" i="13" s="1"/>
  <c r="AE38" i="13"/>
  <c r="E39" i="13"/>
  <c r="G39" i="13"/>
  <c r="H39" i="13"/>
  <c r="J39" i="13"/>
  <c r="M39" i="13"/>
  <c r="O39" i="13"/>
  <c r="P39" i="13"/>
  <c r="R39" i="13"/>
  <c r="U39" i="13"/>
  <c r="W39" i="13"/>
  <c r="X39" i="13"/>
  <c r="Z39" i="13"/>
  <c r="AC39" i="13"/>
  <c r="AE39" i="13"/>
  <c r="C41" i="13"/>
  <c r="D41" i="13"/>
  <c r="D43" i="13" s="1"/>
  <c r="E41" i="13"/>
  <c r="F41" i="13"/>
  <c r="G41" i="13"/>
  <c r="H41" i="13"/>
  <c r="I41" i="13"/>
  <c r="J41" i="13"/>
  <c r="J43" i="13" s="1"/>
  <c r="K41" i="13"/>
  <c r="L41" i="13"/>
  <c r="L43" i="13" s="1"/>
  <c r="M41" i="13"/>
  <c r="N41" i="13"/>
  <c r="O41" i="13"/>
  <c r="P41" i="13"/>
  <c r="Q41" i="13"/>
  <c r="R41" i="13"/>
  <c r="R43" i="13" s="1"/>
  <c r="S41" i="13"/>
  <c r="T41" i="13"/>
  <c r="T43" i="13" s="1"/>
  <c r="U41" i="13"/>
  <c r="V41" i="13"/>
  <c r="W41" i="13"/>
  <c r="X41" i="13"/>
  <c r="Y41" i="13"/>
  <c r="Z41" i="13"/>
  <c r="Z43" i="13" s="1"/>
  <c r="AA41" i="13"/>
  <c r="AB41" i="13"/>
  <c r="AB43" i="13" s="1"/>
  <c r="AC41" i="13"/>
  <c r="AD41" i="13"/>
  <c r="AE41" i="13"/>
  <c r="C42" i="13"/>
  <c r="D42" i="13"/>
  <c r="E42" i="13"/>
  <c r="E43" i="13" s="1"/>
  <c r="F42" i="13"/>
  <c r="G42" i="13"/>
  <c r="G43" i="13" s="1"/>
  <c r="H42" i="13"/>
  <c r="I42" i="13"/>
  <c r="J42" i="13"/>
  <c r="K42" i="13"/>
  <c r="L42" i="13"/>
  <c r="M42" i="13"/>
  <c r="M43" i="13" s="1"/>
  <c r="N42" i="13"/>
  <c r="O42" i="13"/>
  <c r="O43" i="13" s="1"/>
  <c r="P42" i="13"/>
  <c r="Q42" i="13"/>
  <c r="R42" i="13"/>
  <c r="S42" i="13"/>
  <c r="T42" i="13"/>
  <c r="U42" i="13"/>
  <c r="U43" i="13" s="1"/>
  <c r="V42" i="13"/>
  <c r="W42" i="13"/>
  <c r="W43" i="13" s="1"/>
  <c r="X42" i="13"/>
  <c r="Y42" i="13"/>
  <c r="Z42" i="13"/>
  <c r="AA42" i="13"/>
  <c r="AB42" i="13"/>
  <c r="AC42" i="13"/>
  <c r="AC43" i="13" s="1"/>
  <c r="AD42" i="13"/>
  <c r="AE42" i="13"/>
  <c r="AE43" i="13" s="1"/>
  <c r="C43" i="13"/>
  <c r="F43" i="13"/>
  <c r="H43" i="13"/>
  <c r="I43" i="13"/>
  <c r="K43" i="13"/>
  <c r="N43" i="13"/>
  <c r="P43" i="13"/>
  <c r="Q43" i="13"/>
  <c r="S43" i="13"/>
  <c r="V43" i="13"/>
  <c r="X43" i="13"/>
  <c r="Y43" i="13"/>
  <c r="AA43" i="13"/>
  <c r="AD43" i="13"/>
  <c r="C47" i="13"/>
  <c r="D45" i="13"/>
  <c r="E45" i="13"/>
  <c r="E47" i="13" s="1"/>
  <c r="F45" i="13"/>
  <c r="G45" i="13"/>
  <c r="H45" i="13"/>
  <c r="I45" i="13"/>
  <c r="J45" i="13"/>
  <c r="K45" i="13"/>
  <c r="K47" i="13" s="1"/>
  <c r="L45" i="13"/>
  <c r="M45" i="13"/>
  <c r="M47" i="13" s="1"/>
  <c r="N45" i="13"/>
  <c r="O45" i="13"/>
  <c r="P45" i="13"/>
  <c r="Q45" i="13"/>
  <c r="R45" i="13"/>
  <c r="S45" i="13"/>
  <c r="S47" i="13" s="1"/>
  <c r="T45" i="13"/>
  <c r="U45" i="13"/>
  <c r="U47" i="13" s="1"/>
  <c r="V45" i="13"/>
  <c r="W45" i="13"/>
  <c r="X45" i="13"/>
  <c r="Y45" i="13"/>
  <c r="Z45" i="13"/>
  <c r="AA45" i="13"/>
  <c r="AA47" i="13" s="1"/>
  <c r="AB45" i="13"/>
  <c r="AC45" i="13"/>
  <c r="AC47" i="13" s="1"/>
  <c r="AD45" i="13"/>
  <c r="AE45" i="13"/>
  <c r="C46" i="13"/>
  <c r="D46" i="13"/>
  <c r="D47" i="13" s="1"/>
  <c r="E46" i="13"/>
  <c r="F46" i="13"/>
  <c r="F47" i="13" s="1"/>
  <c r="G46" i="13"/>
  <c r="H46" i="13"/>
  <c r="H47" i="13" s="1"/>
  <c r="I46" i="13"/>
  <c r="J46" i="13"/>
  <c r="K46" i="13"/>
  <c r="L46" i="13"/>
  <c r="L47" i="13" s="1"/>
  <c r="M46" i="13"/>
  <c r="N46" i="13"/>
  <c r="N47" i="13" s="1"/>
  <c r="O46" i="13"/>
  <c r="P46" i="13"/>
  <c r="P47" i="13" s="1"/>
  <c r="Q46" i="13"/>
  <c r="R46" i="13"/>
  <c r="S46" i="13"/>
  <c r="T46" i="13"/>
  <c r="T47" i="13" s="1"/>
  <c r="U46" i="13"/>
  <c r="V46" i="13"/>
  <c r="V47" i="13" s="1"/>
  <c r="W46" i="13"/>
  <c r="X46" i="13"/>
  <c r="X47" i="13" s="1"/>
  <c r="Y46" i="13"/>
  <c r="Z46" i="13"/>
  <c r="AA46" i="13"/>
  <c r="AB46" i="13"/>
  <c r="AB47" i="13" s="1"/>
  <c r="AC46" i="13"/>
  <c r="AD46" i="13"/>
  <c r="AD47" i="13" s="1"/>
  <c r="AE46" i="13"/>
  <c r="G47" i="13"/>
  <c r="I47" i="13"/>
  <c r="J47" i="13"/>
  <c r="O47" i="13"/>
  <c r="Q47" i="13"/>
  <c r="R47" i="13"/>
  <c r="W47" i="13"/>
  <c r="Y47" i="13"/>
  <c r="Z47" i="13"/>
  <c r="AE47" i="13"/>
  <c r="C4" i="12"/>
  <c r="D4" i="12"/>
  <c r="C12" i="12"/>
  <c r="D12" i="12"/>
  <c r="E12" i="12"/>
  <c r="F12" i="12"/>
  <c r="G12" i="12"/>
  <c r="H12" i="12"/>
  <c r="I12" i="12"/>
  <c r="J12" i="12"/>
  <c r="K12" i="12"/>
  <c r="L12" i="12"/>
  <c r="M12" i="12"/>
  <c r="N12" i="12"/>
  <c r="O12" i="12"/>
  <c r="P12" i="12"/>
  <c r="Q12" i="12"/>
  <c r="R12" i="12"/>
  <c r="S12" i="12"/>
  <c r="T12" i="12"/>
  <c r="U12" i="12"/>
  <c r="V12" i="12"/>
  <c r="W12" i="12"/>
  <c r="X12" i="12"/>
  <c r="Y12" i="12"/>
  <c r="Z12" i="12"/>
  <c r="AA12" i="12"/>
  <c r="AB12" i="12"/>
  <c r="AC12" i="12"/>
  <c r="AD12" i="12"/>
  <c r="AE12" i="12"/>
  <c r="AD11" i="12" l="1"/>
  <c r="AD13" i="12" s="1"/>
  <c r="V11" i="12"/>
  <c r="V13" i="12" s="1"/>
  <c r="N11" i="12"/>
  <c r="N13" i="12" s="1"/>
  <c r="F11" i="12"/>
  <c r="F13" i="12" s="1"/>
  <c r="AA6" i="12"/>
  <c r="AA8" i="12" s="1"/>
  <c r="S6" i="12"/>
  <c r="S8" i="12" s="1"/>
  <c r="K6" i="12"/>
  <c r="K8" i="12" s="1"/>
  <c r="C6" i="12"/>
  <c r="C8" i="12" s="1"/>
  <c r="AC11" i="12"/>
  <c r="AC13" i="12" s="1"/>
  <c r="U11" i="12"/>
  <c r="U13" i="12" s="1"/>
  <c r="M11" i="12"/>
  <c r="M13" i="12" s="1"/>
  <c r="E11" i="12"/>
  <c r="E13" i="12" s="1"/>
  <c r="Z6" i="12"/>
  <c r="Z8" i="12" s="1"/>
  <c r="R6" i="12"/>
  <c r="R8" i="12" s="1"/>
  <c r="J6" i="12"/>
  <c r="J8" i="12" s="1"/>
  <c r="T11" i="12"/>
  <c r="T13" i="12" s="1"/>
  <c r="L11" i="12"/>
  <c r="L13" i="12" s="1"/>
  <c r="D11" i="12"/>
  <c r="Y6" i="12"/>
  <c r="Q6" i="12"/>
  <c r="Q8" i="12" s="1"/>
  <c r="I6" i="12"/>
  <c r="I8" i="12" s="1"/>
  <c r="AE6" i="12"/>
  <c r="AE8" i="12" s="1"/>
  <c r="O6" i="12"/>
  <c r="O8" i="12" s="1"/>
  <c r="Y11" i="12"/>
  <c r="Y13" i="12" s="1"/>
  <c r="AD6" i="12"/>
  <c r="AD8" i="12" s="1"/>
  <c r="F6" i="12"/>
  <c r="F8" i="12" s="1"/>
  <c r="P11" i="12"/>
  <c r="P13" i="12" s="1"/>
  <c r="M6" i="12"/>
  <c r="M8" i="12" s="1"/>
  <c r="AE11" i="12"/>
  <c r="AE13" i="12" s="1"/>
  <c r="G11" i="12"/>
  <c r="G13" i="12" s="1"/>
  <c r="L6" i="12"/>
  <c r="L8" i="12" s="1"/>
  <c r="AB11" i="12"/>
  <c r="AB13" i="12" s="1"/>
  <c r="I11" i="12"/>
  <c r="I13" i="12" s="1"/>
  <c r="N6" i="12"/>
  <c r="N8" i="12" s="1"/>
  <c r="H11" i="12"/>
  <c r="H13" i="12" s="1"/>
  <c r="O11" i="12"/>
  <c r="O13" i="12" s="1"/>
  <c r="T6" i="12"/>
  <c r="T8" i="12" s="1"/>
  <c r="AA11" i="12"/>
  <c r="AA13" i="12" s="1"/>
  <c r="S11" i="12"/>
  <c r="S13" i="12" s="1"/>
  <c r="K11" i="12"/>
  <c r="K13" i="12" s="1"/>
  <c r="C11" i="12"/>
  <c r="X6" i="12"/>
  <c r="X8" i="12" s="1"/>
  <c r="P6" i="12"/>
  <c r="P8" i="12" s="1"/>
  <c r="H6" i="12"/>
  <c r="H8" i="12" s="1"/>
  <c r="Z11" i="12"/>
  <c r="Z13" i="12" s="1"/>
  <c r="R11" i="12"/>
  <c r="R13" i="12" s="1"/>
  <c r="J11" i="12"/>
  <c r="J13" i="12" s="1"/>
  <c r="W6" i="12"/>
  <c r="W8" i="12" s="1"/>
  <c r="G6" i="12"/>
  <c r="G8" i="12" s="1"/>
  <c r="Q11" i="12"/>
  <c r="Q13" i="12" s="1"/>
  <c r="V6" i="12"/>
  <c r="V8" i="12" s="1"/>
  <c r="X11" i="12"/>
  <c r="X13" i="12" s="1"/>
  <c r="AC6" i="12"/>
  <c r="AC8" i="12" s="1"/>
  <c r="U6" i="12"/>
  <c r="U8" i="12" s="1"/>
  <c r="E6" i="12"/>
  <c r="E8" i="12" s="1"/>
  <c r="W11" i="12"/>
  <c r="W13" i="12" s="1"/>
  <c r="D6" i="12"/>
  <c r="D8" i="12" s="1"/>
  <c r="AB6" i="12"/>
  <c r="AB8" i="12" s="1"/>
  <c r="Y8" i="12"/>
  <c r="E4" i="12"/>
  <c r="F5" i="13"/>
  <c r="D13" i="12" l="1"/>
  <c r="C13" i="12"/>
  <c r="F4" i="12"/>
  <c r="G5" i="13"/>
  <c r="G4" i="12" l="1"/>
  <c r="H5" i="13"/>
  <c r="H4" i="12" l="1"/>
  <c r="I5" i="13"/>
  <c r="I4" i="12" l="1"/>
  <c r="J5" i="13"/>
  <c r="J4" i="12" l="1"/>
  <c r="K5" i="13"/>
  <c r="L5" i="13" l="1"/>
  <c r="K4" i="12"/>
  <c r="M5" i="13" l="1"/>
  <c r="L4" i="12"/>
  <c r="M4" i="12" l="1"/>
  <c r="N5" i="13"/>
  <c r="N4" i="12" l="1"/>
  <c r="O5" i="13"/>
  <c r="O4" i="12" l="1"/>
  <c r="P5" i="13"/>
  <c r="P4" i="12" l="1"/>
  <c r="Q5" i="13"/>
  <c r="Q4" i="12" l="1"/>
  <c r="R5" i="13"/>
  <c r="R4" i="12" l="1"/>
  <c r="S5" i="13"/>
  <c r="T5" i="13" l="1"/>
  <c r="S4" i="12"/>
  <c r="U5" i="13" l="1"/>
  <c r="T4" i="12"/>
  <c r="U4" i="12" l="1"/>
  <c r="V5" i="13"/>
  <c r="V4" i="12" l="1"/>
  <c r="W5" i="13"/>
  <c r="W4" i="12" l="1"/>
  <c r="X5" i="13"/>
  <c r="X4" i="12" l="1"/>
  <c r="Y5" i="13"/>
  <c r="Y4" i="12" l="1"/>
  <c r="Z5" i="13"/>
  <c r="Z4" i="12" l="1"/>
  <c r="AA5" i="13"/>
  <c r="AB5" i="13" l="1"/>
  <c r="AA4" i="12"/>
  <c r="AC5" i="13" l="1"/>
  <c r="AB4" i="12"/>
  <c r="AC4" i="12" l="1"/>
  <c r="AD5" i="13"/>
  <c r="AD4" i="12" l="1"/>
  <c r="AE5" i="13"/>
  <c r="AE4" i="12" l="1"/>
  <c r="D31" i="12" l="1"/>
  <c r="D27" i="12"/>
  <c r="D41" i="12"/>
  <c r="C33" i="12"/>
  <c r="D19" i="12"/>
  <c r="D24" i="12"/>
  <c r="D40" i="12"/>
  <c r="D18" i="12"/>
  <c r="D35" i="12"/>
  <c r="C25" i="12"/>
  <c r="C43" i="12"/>
  <c r="C35" i="12"/>
  <c r="C27" i="12"/>
  <c r="D32" i="12"/>
  <c r="C24" i="12"/>
  <c r="D39" i="12"/>
  <c r="C46" i="12"/>
  <c r="D20" i="12"/>
  <c r="D26" i="12"/>
  <c r="D22" i="12"/>
  <c r="D33" i="12"/>
  <c r="D37" i="12"/>
  <c r="D21" i="12"/>
  <c r="C40" i="12"/>
  <c r="C31" i="12"/>
  <c r="C28" i="12"/>
  <c r="D30" i="12"/>
  <c r="C19" i="12"/>
  <c r="C26" i="12"/>
  <c r="C39" i="12"/>
  <c r="D36" i="12"/>
  <c r="D47" i="12"/>
  <c r="C45" i="12"/>
  <c r="C21" i="12"/>
  <c r="C20" i="12"/>
  <c r="C42" i="12"/>
  <c r="D29" i="12"/>
  <c r="C47" i="12"/>
  <c r="C18" i="12"/>
  <c r="C37" i="12"/>
  <c r="D46" i="12"/>
  <c r="C32" i="12"/>
  <c r="D34" i="12"/>
  <c r="C34" i="12"/>
  <c r="C29" i="12"/>
  <c r="D23" i="12"/>
  <c r="D38" i="12"/>
  <c r="C38" i="12"/>
  <c r="D44" i="12"/>
  <c r="D43" i="12"/>
  <c r="D28" i="12"/>
  <c r="C41" i="12"/>
  <c r="D45" i="12"/>
  <c r="C22" i="12"/>
  <c r="C36" i="12"/>
  <c r="D25" i="12"/>
  <c r="C30" i="12"/>
  <c r="C44" i="12"/>
  <c r="C23" i="12"/>
  <c r="D42" i="12"/>
  <c r="D15" i="4" l="1"/>
  <c r="E15" i="4" s="1"/>
  <c r="C16" i="4"/>
  <c r="D16" i="4"/>
  <c r="C17" i="4"/>
  <c r="D17" i="4"/>
  <c r="E17" i="4" l="1"/>
  <c r="E16" i="4"/>
  <c r="D3" i="4" l="1"/>
  <c r="D4" i="4"/>
  <c r="D5" i="4"/>
  <c r="D6" i="4"/>
  <c r="D7" i="4"/>
  <c r="D8" i="4"/>
  <c r="C5" i="8"/>
  <c r="D5" i="8" s="1"/>
  <c r="B5" i="8"/>
  <c r="C4" i="8"/>
  <c r="B4" i="8"/>
  <c r="C3" i="8"/>
  <c r="D3" i="8" s="1"/>
  <c r="B8" i="9"/>
  <c r="C8" i="9" s="1"/>
  <c r="B7" i="9"/>
  <c r="C7" i="9" s="1"/>
  <c r="D4" i="8" l="1"/>
  <c r="E3" i="4"/>
  <c r="B28" i="3"/>
  <c r="D7" i="7"/>
  <c r="D3" i="7"/>
  <c r="D2" i="7"/>
  <c r="C3" i="4" l="1"/>
  <c r="B30" i="3" s="1"/>
  <c r="B7" i="6"/>
  <c r="R18" i="6"/>
  <c r="O21" i="6"/>
  <c r="O22" i="6"/>
  <c r="O23" i="6"/>
  <c r="O24" i="6"/>
  <c r="O25" i="6"/>
  <c r="O26" i="6"/>
  <c r="O27" i="6"/>
  <c r="O28" i="6"/>
  <c r="O29" i="6"/>
  <c r="O30" i="6"/>
  <c r="O31" i="6"/>
  <c r="O32" i="6"/>
  <c r="O33" i="6"/>
  <c r="O34" i="6"/>
  <c r="O35" i="6"/>
  <c r="O36" i="6"/>
  <c r="O37" i="6"/>
  <c r="O38" i="6"/>
  <c r="O39" i="6"/>
  <c r="O40" i="6"/>
  <c r="O41" i="6"/>
  <c r="O42" i="6"/>
  <c r="O43" i="6"/>
  <c r="O44" i="6"/>
  <c r="O45" i="6"/>
  <c r="O46" i="6"/>
  <c r="O47" i="6"/>
  <c r="O19"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18" i="6"/>
  <c r="B3" i="6"/>
  <c r="B4" i="6" s="1"/>
  <c r="B2" i="6"/>
  <c r="D4" i="7"/>
  <c r="B5" i="6" l="1"/>
  <c r="B6" i="6" s="1"/>
  <c r="Q18" i="6" s="1"/>
  <c r="C18" i="6" s="1"/>
  <c r="E26" i="6"/>
  <c r="E34" i="6"/>
  <c r="E42" i="6"/>
  <c r="E18" i="6"/>
  <c r="E19" i="6"/>
  <c r="E27" i="6"/>
  <c r="E35" i="6"/>
  <c r="E43" i="6"/>
  <c r="E20" i="6"/>
  <c r="E28" i="6"/>
  <c r="E36" i="6"/>
  <c r="E44" i="6"/>
  <c r="E32" i="6"/>
  <c r="E21" i="6"/>
  <c r="E29" i="6"/>
  <c r="E37" i="6"/>
  <c r="E45" i="6"/>
  <c r="E24" i="6"/>
  <c r="E22" i="6"/>
  <c r="E30" i="6"/>
  <c r="E38" i="6"/>
  <c r="E46" i="6"/>
  <c r="E23" i="6"/>
  <c r="E31" i="6"/>
  <c r="E39" i="6"/>
  <c r="E47" i="6"/>
  <c r="E40" i="6"/>
  <c r="E25" i="6"/>
  <c r="E33" i="6"/>
  <c r="E41" i="6"/>
  <c r="D5" i="7"/>
  <c r="D6" i="7" s="1"/>
  <c r="L25" i="6"/>
  <c r="E8" i="4"/>
  <c r="E7" i="4"/>
  <c r="B18" i="6"/>
  <c r="B32" i="3" s="1"/>
  <c r="L19" i="6"/>
  <c r="L46" i="6"/>
  <c r="L38" i="6"/>
  <c r="L30" i="6"/>
  <c r="L22" i="6"/>
  <c r="L45" i="6"/>
  <c r="L37" i="6"/>
  <c r="L29" i="6"/>
  <c r="L21" i="6"/>
  <c r="L18" i="6"/>
  <c r="P18" i="6" s="1"/>
  <c r="L40" i="6"/>
  <c r="L32" i="6"/>
  <c r="L24" i="6"/>
  <c r="L47" i="6"/>
  <c r="L39" i="6"/>
  <c r="L31" i="6"/>
  <c r="L23" i="6"/>
  <c r="L44" i="6"/>
  <c r="L36" i="6"/>
  <c r="L28" i="6"/>
  <c r="L20" i="6"/>
  <c r="L43" i="6"/>
  <c r="L35" i="6"/>
  <c r="L27" i="6"/>
  <c r="L42" i="6"/>
  <c r="L34" i="6"/>
  <c r="L26" i="6"/>
  <c r="L41" i="6"/>
  <c r="L33" i="6"/>
  <c r="E6" i="4"/>
  <c r="E5" i="4"/>
  <c r="E4" i="4"/>
  <c r="Q22" i="6" l="1"/>
  <c r="C22" i="6" s="1"/>
  <c r="M19" i="6"/>
  <c r="P19" i="6" s="1"/>
  <c r="Q35" i="6"/>
  <c r="C35" i="6" s="1"/>
  <c r="Q38" i="6"/>
  <c r="C38" i="6" s="1"/>
  <c r="S18" i="6"/>
  <c r="Q41" i="6"/>
  <c r="C41" i="6" s="1"/>
  <c r="Q30" i="6"/>
  <c r="C30" i="6" s="1"/>
  <c r="Q33" i="6"/>
  <c r="C33" i="6" s="1"/>
  <c r="Q42" i="6"/>
  <c r="C42" i="6" s="1"/>
  <c r="Q43" i="6"/>
  <c r="C43" i="6" s="1"/>
  <c r="Q46" i="6"/>
  <c r="C46" i="6" s="1"/>
  <c r="Q24" i="6"/>
  <c r="C24" i="6" s="1"/>
  <c r="Q20" i="6"/>
  <c r="C20" i="6" s="1"/>
  <c r="Q29" i="6"/>
  <c r="C29" i="6" s="1"/>
  <c r="Q23" i="6"/>
  <c r="C23" i="6" s="1"/>
  <c r="Q32" i="6"/>
  <c r="C32" i="6" s="1"/>
  <c r="Q28" i="6"/>
  <c r="C28" i="6" s="1"/>
  <c r="Q27" i="6"/>
  <c r="C27" i="6" s="1"/>
  <c r="Q31" i="6"/>
  <c r="C31" i="6" s="1"/>
  <c r="Q40" i="6"/>
  <c r="C40" i="6" s="1"/>
  <c r="Q36" i="6"/>
  <c r="C36" i="6" s="1"/>
  <c r="Q21" i="6"/>
  <c r="C21" i="6" s="1"/>
  <c r="Q39" i="6"/>
  <c r="C39" i="6" s="1"/>
  <c r="Q44" i="6"/>
  <c r="C44" i="6" s="1"/>
  <c r="Q19" i="6"/>
  <c r="C19" i="6" s="1"/>
  <c r="Q47" i="6"/>
  <c r="C47" i="6" s="1"/>
  <c r="Q26" i="6"/>
  <c r="C26" i="6" s="1"/>
  <c r="Q45" i="6"/>
  <c r="C45" i="6" s="1"/>
  <c r="Q25" i="6"/>
  <c r="C25" i="6" s="1"/>
  <c r="Q34" i="6"/>
  <c r="C34" i="6" s="1"/>
  <c r="Q37" i="6"/>
  <c r="C37" i="6" s="1"/>
  <c r="D18" i="6" l="1"/>
  <c r="F18" i="6"/>
  <c r="R19" i="6"/>
  <c r="R20" i="6" s="1"/>
  <c r="R21" i="6" s="1"/>
  <c r="R22" i="6" s="1"/>
  <c r="R23" i="6" s="1"/>
  <c r="R24" i="6" s="1"/>
  <c r="R25" i="6" s="1"/>
  <c r="R26" i="6" s="1"/>
  <c r="R27" i="6" s="1"/>
  <c r="M20" i="6"/>
  <c r="P20" i="6" s="1"/>
  <c r="C52" i="6"/>
  <c r="G18" i="6" l="1"/>
  <c r="R28" i="6"/>
  <c r="M21" i="6"/>
  <c r="P21" i="6" s="1"/>
  <c r="S21" i="6" s="1"/>
  <c r="S19" i="6"/>
  <c r="S20" i="6"/>
  <c r="M22" i="6" l="1"/>
  <c r="P22" i="6" s="1"/>
  <c r="S22" i="6" s="1"/>
  <c r="D19" i="6"/>
  <c r="F21" i="6"/>
  <c r="D21" i="6"/>
  <c r="F20" i="6"/>
  <c r="D20" i="6"/>
  <c r="R29" i="6"/>
  <c r="C53" i="6"/>
  <c r="F19" i="6"/>
  <c r="C55" i="6"/>
  <c r="C54" i="6"/>
  <c r="M23" i="6" l="1"/>
  <c r="P23" i="6" s="1"/>
  <c r="S23" i="6" s="1"/>
  <c r="F22" i="6"/>
  <c r="D22" i="6"/>
  <c r="R30" i="6"/>
  <c r="R31" i="6" s="1"/>
  <c r="C56" i="6"/>
  <c r="F23" i="6" l="1"/>
  <c r="D23" i="6"/>
  <c r="C57" i="6"/>
  <c r="R32" i="6"/>
  <c r="M24" i="6"/>
  <c r="P24" i="6" s="1"/>
  <c r="R33" i="6" l="1"/>
  <c r="R34" i="6" s="1"/>
  <c r="R35" i="6" s="1"/>
  <c r="R36" i="6" s="1"/>
  <c r="R37" i="6" s="1"/>
  <c r="S24" i="6"/>
  <c r="M25" i="6"/>
  <c r="P25" i="6" s="1"/>
  <c r="B24" i="3"/>
  <c r="B34" i="3" l="1"/>
  <c r="B38" i="3" s="1"/>
  <c r="F24" i="6"/>
  <c r="D24" i="6"/>
  <c r="C58" i="6"/>
  <c r="R38" i="6"/>
  <c r="S25" i="6"/>
  <c r="M26" i="6"/>
  <c r="P26" i="6" s="1"/>
  <c r="H18" i="6" l="1"/>
  <c r="T20" i="6"/>
  <c r="T23" i="6"/>
  <c r="T21" i="6"/>
  <c r="T22" i="6"/>
  <c r="T19" i="6"/>
  <c r="T24" i="6"/>
  <c r="T18" i="6"/>
  <c r="T25" i="6"/>
  <c r="F25" i="6"/>
  <c r="D25" i="6"/>
  <c r="C59" i="6"/>
  <c r="R39" i="6"/>
  <c r="S26" i="6"/>
  <c r="T26" i="6" s="1"/>
  <c r="M27" i="6"/>
  <c r="P27" i="6" s="1"/>
  <c r="S27" i="6" s="1"/>
  <c r="D27" i="6" l="1"/>
  <c r="T27" i="6"/>
  <c r="F26" i="6"/>
  <c r="D26" i="6"/>
  <c r="F27" i="6"/>
  <c r="C61" i="6"/>
  <c r="M28" i="6"/>
  <c r="P28" i="6" s="1"/>
  <c r="S28" i="6" s="1"/>
  <c r="C60" i="6"/>
  <c r="R40" i="6"/>
  <c r="D28" i="6" l="1"/>
  <c r="T28" i="6"/>
  <c r="F28" i="6"/>
  <c r="C62" i="6"/>
  <c r="R41" i="6"/>
  <c r="M29" i="6"/>
  <c r="P29" i="6" s="1"/>
  <c r="S29" i="6" s="1"/>
  <c r="D29" i="6" l="1"/>
  <c r="T29" i="6"/>
  <c r="F29" i="6"/>
  <c r="C63" i="6"/>
  <c r="R42" i="6"/>
  <c r="M30" i="6"/>
  <c r="P30" i="6" s="1"/>
  <c r="S30" i="6" s="1"/>
  <c r="D30" i="6" l="1"/>
  <c r="T30" i="6"/>
  <c r="F30" i="6"/>
  <c r="C64" i="6"/>
  <c r="R43" i="6"/>
  <c r="M31" i="6"/>
  <c r="P31" i="6" s="1"/>
  <c r="S31" i="6" s="1"/>
  <c r="D31" i="6" l="1"/>
  <c r="T31" i="6"/>
  <c r="F31" i="6"/>
  <c r="C65" i="6"/>
  <c r="R44" i="6"/>
  <c r="M32" i="6"/>
  <c r="P32" i="6" s="1"/>
  <c r="S32" i="6" s="1"/>
  <c r="D32" i="6" l="1"/>
  <c r="T32" i="6"/>
  <c r="F32" i="6"/>
  <c r="C66" i="6"/>
  <c r="R45" i="6"/>
  <c r="M33" i="6"/>
  <c r="P33" i="6" s="1"/>
  <c r="S33" i="6" s="1"/>
  <c r="D33" i="6" l="1"/>
  <c r="T33" i="6"/>
  <c r="F33" i="6"/>
  <c r="C67" i="6"/>
  <c r="R46" i="6"/>
  <c r="M34" i="6"/>
  <c r="P34" i="6" s="1"/>
  <c r="S34" i="6" s="1"/>
  <c r="D34" i="6" l="1"/>
  <c r="T34" i="6"/>
  <c r="F34" i="6"/>
  <c r="C68" i="6"/>
  <c r="R47" i="6"/>
  <c r="M35" i="6"/>
  <c r="P35" i="6" s="1"/>
  <c r="S35" i="6" s="1"/>
  <c r="D35" i="6" l="1"/>
  <c r="T35" i="6"/>
  <c r="F35" i="6"/>
  <c r="C69" i="6"/>
  <c r="M36" i="6"/>
  <c r="P36" i="6" s="1"/>
  <c r="S36" i="6" s="1"/>
  <c r="D36" i="6" l="1"/>
  <c r="T36" i="6"/>
  <c r="F36" i="6"/>
  <c r="C70" i="6"/>
  <c r="M37" i="6"/>
  <c r="P37" i="6" s="1"/>
  <c r="S37" i="6" s="1"/>
  <c r="D37" i="6" l="1"/>
  <c r="T37" i="6"/>
  <c r="F37" i="6"/>
  <c r="C71" i="6"/>
  <c r="M38" i="6"/>
  <c r="P38" i="6" s="1"/>
  <c r="S38" i="6" s="1"/>
  <c r="D38" i="6" l="1"/>
  <c r="T38" i="6"/>
  <c r="F38" i="6"/>
  <c r="C72" i="6"/>
  <c r="M39" i="6"/>
  <c r="P39" i="6" s="1"/>
  <c r="S39" i="6" s="1"/>
  <c r="D39" i="6" l="1"/>
  <c r="T39" i="6"/>
  <c r="F39" i="6"/>
  <c r="C73" i="6"/>
  <c r="M40" i="6"/>
  <c r="P40" i="6" s="1"/>
  <c r="S40" i="6" s="1"/>
  <c r="D40" i="6" l="1"/>
  <c r="T40" i="6"/>
  <c r="F40" i="6"/>
  <c r="C74" i="6"/>
  <c r="M41" i="6"/>
  <c r="P41" i="6" s="1"/>
  <c r="S41" i="6" s="1"/>
  <c r="D41" i="6" l="1"/>
  <c r="T41" i="6"/>
  <c r="F41" i="6"/>
  <c r="C75" i="6"/>
  <c r="M42" i="6"/>
  <c r="P42" i="6" s="1"/>
  <c r="S42" i="6" s="1"/>
  <c r="D42" i="6" l="1"/>
  <c r="T42" i="6"/>
  <c r="C76" i="6"/>
  <c r="F42" i="6"/>
  <c r="M43" i="6"/>
  <c r="P43" i="6" s="1"/>
  <c r="S43" i="6" s="1"/>
  <c r="D43" i="6" l="1"/>
  <c r="T43" i="6"/>
  <c r="F43" i="6"/>
  <c r="C77" i="6"/>
  <c r="M44" i="6"/>
  <c r="P44" i="6" s="1"/>
  <c r="S44" i="6" s="1"/>
  <c r="D44" i="6" l="1"/>
  <c r="T44" i="6"/>
  <c r="F44" i="6"/>
  <c r="C78" i="6"/>
  <c r="M45" i="6"/>
  <c r="P45" i="6" s="1"/>
  <c r="S45" i="6" s="1"/>
  <c r="D45" i="6" l="1"/>
  <c r="T45" i="6"/>
  <c r="F45" i="6"/>
  <c r="C79" i="6"/>
  <c r="M46" i="6"/>
  <c r="P46" i="6" s="1"/>
  <c r="S46" i="6" s="1"/>
  <c r="D46" i="6" l="1"/>
  <c r="T46" i="6"/>
  <c r="F46" i="6"/>
  <c r="C80" i="6"/>
  <c r="M47" i="6"/>
  <c r="P47" i="6" s="1"/>
  <c r="S47" i="6" s="1"/>
  <c r="D47" i="6" l="1"/>
  <c r="T47" i="6"/>
  <c r="T48" i="6" s="1"/>
  <c r="B13" i="6" s="1"/>
  <c r="F47" i="6"/>
  <c r="C81" i="6"/>
  <c r="S48" i="6"/>
  <c r="G31" i="6"/>
  <c r="H31" i="6" s="1"/>
  <c r="G39" i="6"/>
  <c r="H39" i="6" s="1"/>
  <c r="G23" i="6"/>
  <c r="H23" i="6" s="1"/>
  <c r="G41" i="6"/>
  <c r="H41" i="6" s="1"/>
  <c r="G32" i="6"/>
  <c r="H32" i="6" s="1"/>
  <c r="G46" i="6"/>
  <c r="H46" i="6" s="1"/>
  <c r="G38" i="6"/>
  <c r="H38" i="6" s="1"/>
  <c r="G24" i="6"/>
  <c r="H24" i="6" s="1"/>
  <c r="G45" i="6"/>
  <c r="H45" i="6" s="1"/>
  <c r="G42" i="6"/>
  <c r="H42" i="6" s="1"/>
  <c r="G22" i="6"/>
  <c r="H22" i="6" s="1"/>
  <c r="G37" i="6"/>
  <c r="H37" i="6" s="1"/>
  <c r="G29" i="6"/>
  <c r="H29" i="6" s="1"/>
  <c r="G34" i="6"/>
  <c r="H34" i="6" s="1"/>
  <c r="G19" i="6"/>
  <c r="H19" i="6" s="1"/>
  <c r="G21" i="6"/>
  <c r="H21" i="6" s="1"/>
  <c r="G43" i="6"/>
  <c r="H43" i="6" s="1"/>
  <c r="G26" i="6"/>
  <c r="H26" i="6" s="1"/>
  <c r="G33" i="6"/>
  <c r="H33" i="6" s="1"/>
  <c r="G44" i="6"/>
  <c r="H44" i="6" s="1"/>
  <c r="G35" i="6"/>
  <c r="H35" i="6" s="1"/>
  <c r="G28" i="6"/>
  <c r="H28" i="6" s="1"/>
  <c r="G25" i="6"/>
  <c r="H25" i="6" s="1"/>
  <c r="G36" i="6"/>
  <c r="H36" i="6" s="1"/>
  <c r="G27" i="6"/>
  <c r="H27" i="6" s="1"/>
  <c r="G40" i="6"/>
  <c r="H40" i="6" s="1"/>
  <c r="G20" i="6"/>
  <c r="H20" i="6" s="1"/>
  <c r="G30" i="6"/>
  <c r="H30" i="6" s="1"/>
  <c r="B11" i="6" l="1"/>
  <c r="D9" i="7" s="1"/>
  <c r="G47" i="6"/>
  <c r="H47" i="6" s="1"/>
  <c r="D44" i="7"/>
  <c r="D42" i="7"/>
  <c r="D41" i="7"/>
  <c r="D43" i="7"/>
  <c r="D36" i="7"/>
  <c r="D17" i="7"/>
  <c r="D26" i="7"/>
  <c r="D32" i="7"/>
  <c r="D30" i="7"/>
  <c r="D33" i="7"/>
  <c r="D27" i="7"/>
  <c r="D28" i="7"/>
  <c r="D35" i="7"/>
  <c r="D39" i="7"/>
  <c r="D18" i="7"/>
  <c r="D31" i="7"/>
  <c r="D20" i="7"/>
  <c r="D21" i="7"/>
  <c r="D38" i="7"/>
  <c r="D40" i="7"/>
  <c r="D25" i="7"/>
  <c r="D37" i="7"/>
  <c r="D23" i="7"/>
  <c r="D24" i="7"/>
  <c r="D34" i="7"/>
  <c r="D19" i="7"/>
  <c r="D22" i="7"/>
  <c r="D29" i="7"/>
  <c r="D16" i="7"/>
  <c r="D11" i="7"/>
  <c r="D45" i="7" l="1"/>
  <c r="G48" i="6"/>
  <c r="B10" i="6" s="1"/>
  <c r="D8" i="7" s="1"/>
  <c r="H48" i="6"/>
  <c r="E45" i="7"/>
  <c r="B81" i="6"/>
  <c r="D81" i="6" s="1"/>
  <c r="B77" i="6"/>
  <c r="D77" i="6" s="1"/>
  <c r="E41" i="7"/>
  <c r="B79" i="6"/>
  <c r="D79" i="6" s="1"/>
  <c r="E43" i="7"/>
  <c r="B80" i="6"/>
  <c r="D80" i="6" s="1"/>
  <c r="E44" i="7"/>
  <c r="B78" i="6"/>
  <c r="D78" i="6" s="1"/>
  <c r="E42" i="7"/>
  <c r="B60" i="6"/>
  <c r="D60" i="6" s="1"/>
  <c r="E24" i="7"/>
  <c r="B67" i="6"/>
  <c r="D67" i="6" s="1"/>
  <c r="E31" i="7"/>
  <c r="B64" i="6"/>
  <c r="D64" i="6" s="1"/>
  <c r="E28" i="7"/>
  <c r="B68" i="6"/>
  <c r="D68" i="6" s="1"/>
  <c r="E32" i="7"/>
  <c r="B76" i="6"/>
  <c r="D76" i="6" s="1"/>
  <c r="E40" i="7"/>
  <c r="B65" i="6"/>
  <c r="D65" i="6" s="1"/>
  <c r="E29" i="7"/>
  <c r="B58" i="6"/>
  <c r="D58" i="6" s="1"/>
  <c r="E22" i="7"/>
  <c r="B59" i="6"/>
  <c r="D59" i="6" s="1"/>
  <c r="E23" i="7"/>
  <c r="B74" i="6"/>
  <c r="D74" i="6" s="1"/>
  <c r="E38" i="7"/>
  <c r="B54" i="6"/>
  <c r="D54" i="6" s="1"/>
  <c r="E18" i="7"/>
  <c r="B63" i="6"/>
  <c r="D63" i="6" s="1"/>
  <c r="E27" i="7"/>
  <c r="B62" i="6"/>
  <c r="D62" i="6" s="1"/>
  <c r="E26" i="7"/>
  <c r="B55" i="6"/>
  <c r="D55" i="6" s="1"/>
  <c r="E19" i="7"/>
  <c r="B73" i="6"/>
  <c r="D73" i="6" s="1"/>
  <c r="E37" i="7"/>
  <c r="B57" i="6"/>
  <c r="D57" i="6" s="1"/>
  <c r="E21" i="7"/>
  <c r="B75" i="6"/>
  <c r="D75" i="6" s="1"/>
  <c r="E39" i="7"/>
  <c r="B69" i="6"/>
  <c r="D69" i="6" s="1"/>
  <c r="E33" i="7"/>
  <c r="B53" i="6"/>
  <c r="D53" i="6" s="1"/>
  <c r="E17" i="7"/>
  <c r="B70" i="6"/>
  <c r="D70" i="6" s="1"/>
  <c r="E34" i="7"/>
  <c r="B61" i="6"/>
  <c r="D61" i="6" s="1"/>
  <c r="E25" i="7"/>
  <c r="B56" i="6"/>
  <c r="D56" i="6" s="1"/>
  <c r="E20" i="7"/>
  <c r="B71" i="6"/>
  <c r="D71" i="6" s="1"/>
  <c r="E35" i="7"/>
  <c r="B66" i="6"/>
  <c r="D66" i="6" s="1"/>
  <c r="E30" i="7"/>
  <c r="B72" i="6"/>
  <c r="D72" i="6" s="1"/>
  <c r="E36" i="7"/>
  <c r="E16" i="7"/>
  <c r="B12" i="6" l="1"/>
  <c r="B14" i="6" s="1"/>
  <c r="B52" i="6"/>
  <c r="D52" i="6" s="1"/>
  <c r="D12" i="7" l="1"/>
  <c r="D10" i="7"/>
</calcChain>
</file>

<file path=xl/sharedStrings.xml><?xml version="1.0" encoding="utf-8"?>
<sst xmlns="http://schemas.openxmlformats.org/spreadsheetml/2006/main" count="235" uniqueCount="148">
  <si>
    <t>SP15</t>
  </si>
  <si>
    <t>Battery technology</t>
  </si>
  <si>
    <t>Depth of Discharge</t>
  </si>
  <si>
    <t>Round-trip efficiency</t>
  </si>
  <si>
    <t>Annual cell degradation</t>
  </si>
  <si>
    <t>OPERATIONAL</t>
  </si>
  <si>
    <t>FINANCIAL</t>
  </si>
  <si>
    <t>Cost of debt</t>
  </si>
  <si>
    <t>Debt %</t>
  </si>
  <si>
    <t>Cost of equity</t>
  </si>
  <si>
    <t>Repower capex</t>
  </si>
  <si>
    <t>Equity %</t>
  </si>
  <si>
    <t>Fixed O&amp;M $/kW-yr</t>
  </si>
  <si>
    <t>Annual discharge scenario</t>
  </si>
  <si>
    <t>Lithium Ion</t>
  </si>
  <si>
    <t>Repower Capex</t>
  </si>
  <si>
    <t>ANALYSIS PARAMETERS</t>
  </si>
  <si>
    <t>Analysis period years</t>
  </si>
  <si>
    <t>Real Discount Rate</t>
  </si>
  <si>
    <t>Inflation</t>
  </si>
  <si>
    <t>Nominal Discount Rate</t>
  </si>
  <si>
    <t>Desired unit</t>
  </si>
  <si>
    <t>Capex - Capacity</t>
  </si>
  <si>
    <t>Capex - Power Conversion</t>
  </si>
  <si>
    <t>CAPEX</t>
  </si>
  <si>
    <t>DISCHARGE SCENARIO</t>
  </si>
  <si>
    <t>350 days</t>
  </si>
  <si>
    <t>Summer only</t>
  </si>
  <si>
    <t>Winter only</t>
  </si>
  <si>
    <t>SYSTEM DESIGN</t>
  </si>
  <si>
    <t>Installed capacity MW</t>
  </si>
  <si>
    <t>Charge/discharge duration hours</t>
  </si>
  <si>
    <t>MWh/year</t>
  </si>
  <si>
    <t>Days</t>
  </si>
  <si>
    <t>350 Days</t>
  </si>
  <si>
    <t>Capital expenditure -- power conversion</t>
  </si>
  <si>
    <t>Capital expenditure -- capacity</t>
  </si>
  <si>
    <t>Cycles Before Repower</t>
  </si>
  <si>
    <t>LIFETIME CYCLES</t>
  </si>
  <si>
    <t>FORWARD PRICE RATIOS</t>
  </si>
  <si>
    <t>NP15</t>
  </si>
  <si>
    <t>CAISO trading hub</t>
  </si>
  <si>
    <t>Net</t>
  </si>
  <si>
    <t>Charge cost/discharge value scenario</t>
  </si>
  <si>
    <t>MWh/Day</t>
  </si>
  <si>
    <t>Year</t>
  </si>
  <si>
    <t>Selected Tech</t>
  </si>
  <si>
    <t>Discharge Scenario</t>
  </si>
  <si>
    <t>MWh/yr</t>
  </si>
  <si>
    <t>Numerator</t>
  </si>
  <si>
    <t>DoD</t>
  </si>
  <si>
    <t>Year 1 MWh/yr</t>
  </si>
  <si>
    <t>Full Yr MWh</t>
  </si>
  <si>
    <t>Previous Yr MWh</t>
  </si>
  <si>
    <t>N/A</t>
  </si>
  <si>
    <t>Replacement Year?</t>
  </si>
  <si>
    <t>Final MWh</t>
  </si>
  <si>
    <t>Year(s) to Repower</t>
  </si>
  <si>
    <t>Adjusted Year</t>
  </si>
  <si>
    <t>Years in Analysis</t>
  </si>
  <si>
    <t>Denominator</t>
  </si>
  <si>
    <t>Total</t>
  </si>
  <si>
    <t>Total MWh over Lifetime (Denominator)</t>
  </si>
  <si>
    <t>Totals</t>
  </si>
  <si>
    <t>O&amp;M</t>
  </si>
  <si>
    <t>Redox Flow</t>
  </si>
  <si>
    <t>Lead Acid</t>
  </si>
  <si>
    <t>Sodium Sulfur</t>
  </si>
  <si>
    <t>Sodium Metal Halide</t>
  </si>
  <si>
    <t>Zinc-Hybrid Cathode</t>
  </si>
  <si>
    <t>Ratio (Levelized Cost)</t>
  </si>
  <si>
    <t>Total Discounted</t>
  </si>
  <si>
    <t>MWh</t>
  </si>
  <si>
    <t>Cost</t>
  </si>
  <si>
    <t>Summary</t>
  </si>
  <si>
    <t>Annual Levelized</t>
  </si>
  <si>
    <t>Annual</t>
  </si>
  <si>
    <t>Total Cost</t>
  </si>
  <si>
    <t>Discounted Cost</t>
  </si>
  <si>
    <t>User Inputs</t>
  </si>
  <si>
    <t>Calculations</t>
  </si>
  <si>
    <t>Annual Summary</t>
  </si>
  <si>
    <t>Technology</t>
  </si>
  <si>
    <t>Scenario</t>
  </si>
  <si>
    <t>The purpose of this tool is to calculate the levelized cost of storage for battery technologies based on user-input battery type, discharge scenario (i.e. frequency of use), project size (i.e. annual MWh), study duration, and additional O&amp;M and financial factors. Based on the user inputs, the calculator returns the lifetime costs and energy (MWh) of a battery project, which are used to generate a levelized cost of storage.</t>
  </si>
  <si>
    <t>INSTRUCTIONS</t>
  </si>
  <si>
    <t>LEVELIZED COST OF STORAGE CALCULATOR</t>
  </si>
  <si>
    <t>Battery Technology</t>
  </si>
  <si>
    <t>Degradation</t>
  </si>
  <si>
    <t>US Energy Information Administration (EIA). 2020. Battery Storage in the United States: An Update on Market Trends. US Department of Energy.</t>
  </si>
  <si>
    <t>Note: Calculated based on user inputs.</t>
  </si>
  <si>
    <t>Net Value (Cost) $/MWh</t>
  </si>
  <si>
    <t>Discharge MWh</t>
  </si>
  <si>
    <t>Net Value (Cost) $</t>
  </si>
  <si>
    <t>High Charge Value</t>
  </si>
  <si>
    <t>Low Charge Cost</t>
  </si>
  <si>
    <t>Low Charge Value</t>
  </si>
  <si>
    <t>High Charge Cost</t>
  </si>
  <si>
    <t>Average Charge Value</t>
  </si>
  <si>
    <t>Average Charge Cost</t>
  </si>
  <si>
    <t>On Peak</t>
  </si>
  <si>
    <t>CAISO SP15</t>
  </si>
  <si>
    <t>Off Peak</t>
  </si>
  <si>
    <t>CAISO NP15</t>
  </si>
  <si>
    <t>High Case</t>
  </si>
  <si>
    <t>Low Case</t>
  </si>
  <si>
    <t>Base Case</t>
  </si>
  <si>
    <t>Forward Cost Ratio</t>
  </si>
  <si>
    <t>Annual Net Value (Cost) $/MWh</t>
  </si>
  <si>
    <t>SELECTED FORWARD PRICE RATIO</t>
  </si>
  <si>
    <t>Forward Price Ratio Adjustment</t>
  </si>
  <si>
    <t>Source: All based on the CAISO SP-15 and NP-15 forward trading market scenarios. Available here: https://www.theice.com/products/6590382/CAISO-SP-15-Day-Ahead-Peak-Fixed-Price-Future (Accessed Sep. 2020)</t>
  </si>
  <si>
    <t>3. Once all the fields on the Inputs worksheet have been populated, the Outputs worksheet will display  results based on user inputs. This includes the lifetime cost of the project, the lifetime energy stored, and the levelized cost of the storage for the project. The Outputs worksheet also displays yearly project costs and MWh, which reflect both degradation and recharges over time.</t>
  </si>
  <si>
    <r>
      <t>4. Additional information regarding the values and sources used in the calculations are available on the remaining worksheets (</t>
    </r>
    <r>
      <rPr>
        <b/>
        <sz val="11"/>
        <color theme="4" tint="-0.249977111117893"/>
        <rFont val="Calibri"/>
        <family val="2"/>
        <scheme val="minor"/>
      </rPr>
      <t>Capex</t>
    </r>
    <r>
      <rPr>
        <sz val="11"/>
        <color theme="1"/>
        <rFont val="Calibri"/>
        <family val="2"/>
        <scheme val="minor"/>
      </rPr>
      <t xml:space="preserve">, </t>
    </r>
    <r>
      <rPr>
        <b/>
        <sz val="11"/>
        <color theme="4" tint="-0.249977111117893"/>
        <rFont val="Calibri"/>
        <family val="2"/>
        <scheme val="minor"/>
      </rPr>
      <t>Lifetime Cycles</t>
    </r>
    <r>
      <rPr>
        <sz val="11"/>
        <color theme="1"/>
        <rFont val="Calibri"/>
        <family val="2"/>
        <scheme val="minor"/>
      </rPr>
      <t xml:space="preserve">, </t>
    </r>
    <r>
      <rPr>
        <b/>
        <sz val="11"/>
        <color theme="4" tint="-0.249977111117893"/>
        <rFont val="Calibri"/>
        <family val="2"/>
        <scheme val="minor"/>
      </rPr>
      <t>Discharge Scenario</t>
    </r>
    <r>
      <rPr>
        <sz val="11"/>
        <color theme="1"/>
        <rFont val="Calibri"/>
        <family val="2"/>
        <scheme val="minor"/>
      </rPr>
      <t xml:space="preserve">, and </t>
    </r>
    <r>
      <rPr>
        <b/>
        <sz val="11"/>
        <color theme="4" tint="-0.249977111117893"/>
        <rFont val="Calibri"/>
        <family val="2"/>
        <scheme val="minor"/>
      </rPr>
      <t>Forward Price Ratios</t>
    </r>
    <r>
      <rPr>
        <sz val="11"/>
        <color theme="1"/>
        <rFont val="Calibri"/>
        <family val="2"/>
        <scheme val="minor"/>
      </rPr>
      <t>), which are described in greater detail below.</t>
    </r>
  </si>
  <si>
    <t>The Capex worksheet provides capital expenditure costs for each battery technology option, which includes power conversion costs ($/kW) and capacity costs ($/MWh), which we drew directly from a literature review. It also provides the number of cycles possible before recharge for each technology which is based on the user input depth of discharge (DOD), and draws from the discharge scenario worksheet.</t>
  </si>
  <si>
    <t>The Discharge Scenario worksheet, is based off of user inputs of scenario (Whole year, summer only, or winter only), which each assume a number of days of annual use, and user-selected project size, which together calculate the annual MWh of the project.</t>
  </si>
  <si>
    <t>INFORMATIVE WORKSHEET DETAILS</t>
  </si>
  <si>
    <t>Sources: Mongird, K., Viswanathan, V., Balducci, P., Alam, J., Fotedar, V., Koritarov, V. and Hadjerioua, B. 2019. Energy Storage Technology and Cost Characterization Report. Pacific Northwest National Laboratory. Table 2, p. 8</t>
  </si>
  <si>
    <t>Source</t>
  </si>
  <si>
    <t>1. Projecting the Future Levelized Cost of Electricity Storage Technologies, Joule, January 16, 2019. https://www.cell.com/joule/pdfExtended/S2542-4351(18)30583-X</t>
  </si>
  <si>
    <t xml:space="preserve">Sources: </t>
  </si>
  <si>
    <t>2. Mongird, K., et. al. 2019. Energy Storage Technology and Cost Characterization Report. Pacifc Northwest National Laboratory. Table 2, p. 8.</t>
  </si>
  <si>
    <t>← green highlight = reference data; update as newer data become available</t>
  </si>
  <si>
    <t>UPDATING SPREADHSEET DATA AND SOURCES</t>
  </si>
  <si>
    <t>4 hours</t>
  </si>
  <si>
    <t>Base/Base</t>
  </si>
  <si>
    <t xml:space="preserve">2. Based on the inputs in the yellow cells, the white cells will autopopulate, allowing users to see how their selections influence those factors. </t>
  </si>
  <si>
    <t>Capex - Power Conversion ($/kW)</t>
  </si>
  <si>
    <t>Capex - Capacity ($/MWh)</t>
  </si>
  <si>
    <t>Total Costs over Lifetime  (Numerator)</t>
  </si>
  <si>
    <t>Total Costs over Lifetime - Discounted (Numerator)</t>
  </si>
  <si>
    <t>Total MWh over Lifetime - Discounted (Denominator)</t>
  </si>
  <si>
    <t>Discounted MWh</t>
  </si>
  <si>
    <r>
      <t xml:space="preserve">1. Users should populate the yellow drop-down cells in column B of the </t>
    </r>
    <r>
      <rPr>
        <b/>
        <sz val="11"/>
        <color theme="4" tint="-0.249977111117893"/>
        <rFont val="Calibri"/>
        <family val="2"/>
        <scheme val="minor"/>
      </rPr>
      <t>Inputs</t>
    </r>
    <r>
      <rPr>
        <sz val="11"/>
        <color theme="1"/>
        <rFont val="Calibri"/>
        <family val="2"/>
        <scheme val="minor"/>
      </rPr>
      <t xml:space="preserve"> worksheet. These inputs are split into four categories: Operational, System Design, Financial, and Analysis Parameters. </t>
    </r>
  </si>
  <si>
    <r>
      <t xml:space="preserve">The Lifetime Cycles worksheet provides the number of cycles at each depth of discharge scenario for each given battery technology. Depth of Discharge (DoD) represent the percentage of the battery that has been discharged relative to the overall capacity of the battery. We extracted the 80% scenarios from a literature review, </t>
    </r>
    <r>
      <rPr>
        <sz val="11"/>
        <rFont val="Calibri"/>
        <family val="2"/>
        <scheme val="minor"/>
      </rPr>
      <t>and used it to calculate th</t>
    </r>
    <r>
      <rPr>
        <sz val="11"/>
        <color theme="1"/>
        <rFont val="Calibri"/>
        <family val="2"/>
        <scheme val="minor"/>
      </rPr>
      <t>e 90% and 100% scenarios based on linear scaling</t>
    </r>
  </si>
  <si>
    <r>
      <t xml:space="preserve">The Calculations worksheet uses information from the five above worksheets to </t>
    </r>
    <r>
      <rPr>
        <sz val="11"/>
        <rFont val="Calibri"/>
        <family val="2"/>
        <scheme val="minor"/>
      </rPr>
      <t>derive</t>
    </r>
    <r>
      <rPr>
        <sz val="11"/>
        <color theme="1"/>
        <rFont val="Calibri"/>
        <family val="2"/>
        <scheme val="minor"/>
      </rPr>
      <t xml:space="preserve"> a numerator (lifetime costs of the project or measured period) and denominator (total MWh over the project lifetime or measured period) to </t>
    </r>
    <r>
      <rPr>
        <sz val="11"/>
        <rFont val="Calibri"/>
        <family val="2"/>
        <scheme val="minor"/>
      </rPr>
      <t>calculate</t>
    </r>
    <r>
      <rPr>
        <sz val="11"/>
        <color theme="1"/>
        <rFont val="Calibri"/>
        <family val="2"/>
        <scheme val="minor"/>
      </rPr>
      <t xml:space="preserve"> the levelized cost ratio. It</t>
    </r>
    <r>
      <rPr>
        <sz val="11"/>
        <color rgb="FFFF0000"/>
        <rFont val="Calibri (Body)"/>
      </rPr>
      <t xml:space="preserve"> </t>
    </r>
    <r>
      <rPr>
        <sz val="11"/>
        <rFont val="Calibri"/>
        <family val="2"/>
        <scheme val="minor"/>
      </rPr>
      <t xml:space="preserve">calculates </t>
    </r>
    <r>
      <rPr>
        <sz val="11"/>
        <color theme="1"/>
        <rFont val="Calibri"/>
        <family val="2"/>
        <scheme val="minor"/>
      </rPr>
      <t>the annual costs using the capex information from the capex worksheet, which includes annual costs, first year costs, O&amp;M costs, recharge costs, and the forward price ratio. These are calculated based on user inputs, and the lifetime cycles and discharge scenarios, which inform the frequency at which recharges are needed. We assume the cost of each recharge to be 54% of the first year costs. The final costs are a function of these costs, discounted at the rate generated by user financial inputs. The project MWh are also calculated based on user inputs including project size, depth of discharge, and yearly degradation. In years where recharges occur, battery MWh also revert to year one levels.</t>
    </r>
  </si>
  <si>
    <t>Years Before Repower</t>
  </si>
  <si>
    <r>
      <rPr>
        <sz val="11"/>
        <rFont val="Calibri"/>
        <family val="2"/>
        <scheme val="minor"/>
      </rPr>
      <t>The Selected Forward Price worksheet influences the forward price curve based on the user-selected scenario of charge cost/discharge value scenario. This is needed because on-peak prices are typically given using a different ratio than battery discharge scenarios, creating the need to apply ratios to calculate the actual relationship between charging costs and discharge values. This worksheet shows the year to year price ratios for the user's selected scenario and trading mar</t>
    </r>
    <r>
      <rPr>
        <sz val="11"/>
        <color theme="1"/>
        <rFont val="Calibri"/>
        <family val="2"/>
        <scheme val="minor"/>
      </rPr>
      <t xml:space="preserve">ket (i.e. SP15 or NP15). </t>
    </r>
  </si>
  <si>
    <r>
      <t xml:space="preserve">Any information highlighted in green comes from "live" sources and needs to be updated periodically to keep this tool up to date. The rapid growth and improvements in battery technologies may mean that costs could decrease and capacity could increase substantially in the next few years. As such, the </t>
    </r>
    <r>
      <rPr>
        <sz val="11"/>
        <rFont val="Calibri"/>
        <family val="2"/>
        <scheme val="minor"/>
      </rPr>
      <t xml:space="preserve">data in this workbook </t>
    </r>
    <r>
      <rPr>
        <sz val="11"/>
        <color theme="1"/>
        <rFont val="Calibri"/>
        <family val="2"/>
        <scheme val="minor"/>
      </rPr>
      <t>may need to be updated periodically, even when pulled from recent studies, to keep the projections from this tool accurate. We recommend that information is updated annually, with specific attention paid to changes in Capex costs, lifetime cycles, and forward price ratios.</t>
    </r>
  </si>
  <si>
    <t>The Forward Price Ratios worksheet uses available data from the California ISO (CAISO) to create forward price ratios that correct for the differences in energy costs to charge and discharge the batteries in the overall levelized costs. Users can select a scenario reflecting the costs (high/low/base) at which charging and discharging occur, along with the CAISO trading hub being considered (NP-15 or SP-15). These are used to populate the fields in the Selected Forward Price worksheet, which in turn are used in the numerator of the levelized cost ratio on the Calculations worksheet. Note that the cells in green on this worksheet are based on daily forecasts and should be updated periodically to keep the information accurate and up to date.</t>
  </si>
  <si>
    <t>$/MWh</t>
  </si>
  <si>
    <t>4.75%; These values typically fall between 4% and 7%</t>
  </si>
  <si>
    <t>Suggested Default Value and Typical Range from Existing Studies</t>
  </si>
  <si>
    <t>55%; These values typically fall between 45% and 80%</t>
  </si>
  <si>
    <t>11.5%; These values typically fall between 9% and 13%</t>
  </si>
  <si>
    <t>2.14%; These values typically fall between 0.5% and 3%</t>
  </si>
  <si>
    <t>N/A; 30 year maximum</t>
  </si>
  <si>
    <t>$10; These values typically fall between $0 and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</si>
</sst>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164" formatCode="0.0%"/>
    <numFmt numFmtId="165" formatCode="&quot;$&quot;#,##0.00"/>
    <numFmt numFmtId="166" formatCode="&quot;$&quot;#,##0"/>
    <numFmt numFmtId="167" formatCode="&quot;$&quot;#,##0.0"/>
    <numFmt numFmtId="168" formatCode="#,##0.0"/>
    <numFmt numFmtId="169" formatCode="0.000"/>
  </numFmts>
  <fonts count="2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i/>
      <sz val="9"/>
      <color theme="1"/>
      <name val="Calibri"/>
      <family val="2"/>
      <scheme val="minor"/>
    </font>
    <font>
      <sz val="11"/>
      <color rgb="FFFF0000"/>
      <name val="Calibri"/>
      <family val="2"/>
      <scheme val="minor"/>
    </font>
    <font>
      <sz val="11"/>
      <name val="Calibri"/>
      <family val="2"/>
      <scheme val="minor"/>
    </font>
    <font>
      <b/>
      <i/>
      <sz val="11"/>
      <color theme="4" tint="-0.249977111117893"/>
      <name val="Calibri"/>
      <family val="2"/>
      <scheme val="minor"/>
    </font>
    <font>
      <b/>
      <sz val="11"/>
      <color theme="4" tint="-0.249977111117893"/>
      <name val="Calibri"/>
      <family val="2"/>
      <scheme val="minor"/>
    </font>
    <font>
      <b/>
      <sz val="14"/>
      <color theme="4" tint="-0.249977111117893"/>
      <name val="Calibri"/>
      <family val="2"/>
      <scheme val="minor"/>
    </font>
    <font>
      <b/>
      <i/>
      <sz val="12"/>
      <color theme="4" tint="-0.249977111117893"/>
      <name val="Calibri"/>
      <family val="2"/>
      <scheme val="minor"/>
    </font>
    <font>
      <b/>
      <sz val="12"/>
      <color theme="4" tint="-0.249977111117893"/>
      <name val="Calibri"/>
      <family val="2"/>
      <scheme val="minor"/>
    </font>
    <font>
      <b/>
      <sz val="14"/>
      <color theme="8" tint="-0.499984740745262"/>
      <name val="Calibri"/>
      <family val="2"/>
      <scheme val="minor"/>
    </font>
    <font>
      <b/>
      <sz val="12"/>
      <color theme="8" tint="-0.499984740745262"/>
      <name val="Calibri"/>
      <family val="2"/>
      <scheme val="minor"/>
    </font>
    <font>
      <i/>
      <sz val="11"/>
      <color theme="1"/>
      <name val="Calibri"/>
      <family val="2"/>
      <scheme val="minor"/>
    </font>
    <font>
      <sz val="10"/>
      <color theme="1"/>
      <name val="Calibri"/>
      <family val="2"/>
      <scheme val="minor"/>
    </font>
    <font>
      <sz val="11"/>
      <color theme="4" tint="-0.249977111117893"/>
      <name val="Calibri"/>
      <family val="2"/>
      <scheme val="minor"/>
    </font>
    <font>
      <i/>
      <sz val="11"/>
      <color theme="1"/>
      <name val="Calibri"/>
      <family val="2"/>
    </font>
    <font>
      <sz val="11"/>
      <color rgb="FFFF0000"/>
      <name val="Calibri (Body)"/>
    </font>
  </fonts>
  <fills count="6">
    <fill>
      <patternFill patternType="none"/>
    </fill>
    <fill>
      <patternFill patternType="gray125"/>
    </fill>
    <fill>
      <patternFill patternType="solid">
        <fgColor theme="2"/>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7" tint="0.79998168889431442"/>
        <bgColor indexed="64"/>
      </patternFill>
    </fill>
  </fills>
  <borders count="22">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266">
    <xf numFmtId="0" fontId="0" fillId="0" borderId="0" xfId="0"/>
    <xf numFmtId="0" fontId="1" fillId="0" borderId="0" xfId="0" applyFont="1"/>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Alignment="1">
      <alignment horizontal="center" vertical="center" wrapText="1"/>
    </xf>
    <xf numFmtId="166" fontId="1" fillId="0" borderId="0" xfId="0" applyNumberFormat="1" applyFont="1" applyAlignment="1">
      <alignment horizontal="center"/>
    </xf>
    <xf numFmtId="0" fontId="7" fillId="0" borderId="0" xfId="0" applyFont="1"/>
    <xf numFmtId="0" fontId="1" fillId="0" borderId="0" xfId="0" applyFont="1" applyFill="1"/>
    <xf numFmtId="0" fontId="1" fillId="0" borderId="0" xfId="0" applyFont="1" applyFill="1" applyAlignment="1">
      <alignment horizontal="center"/>
    </xf>
    <xf numFmtId="0" fontId="4" fillId="0" borderId="0" xfId="0" applyFont="1"/>
    <xf numFmtId="165" fontId="0" fillId="0" borderId="0" xfId="0" applyNumberFormat="1"/>
    <xf numFmtId="0" fontId="0" fillId="0" borderId="0" xfId="0" quotePrefix="1"/>
    <xf numFmtId="0" fontId="8" fillId="0" borderId="0" xfId="0" applyFont="1"/>
    <xf numFmtId="0" fontId="0" fillId="0" borderId="0" xfId="0" applyFill="1" applyBorder="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9" fillId="0" borderId="0" xfId="0" applyFont="1" applyBorder="1" applyAlignment="1">
      <alignment horizontal="left"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9" fillId="0" borderId="0" xfId="0" applyFont="1" applyAlignment="1">
      <alignment horizontal="left" vertical="center" wrapText="1"/>
    </xf>
    <xf numFmtId="0" fontId="0" fillId="3" borderId="5" xfId="0" applyFill="1" applyBorder="1" applyAlignment="1">
      <alignment horizontal="center" vertical="center" wrapText="1"/>
    </xf>
    <xf numFmtId="9" fontId="0" fillId="3" borderId="5" xfId="0" applyNumberFormat="1" applyFill="1" applyBorder="1" applyAlignment="1">
      <alignment horizontal="center" vertical="center" wrapText="1"/>
    </xf>
    <xf numFmtId="164" fontId="0" fillId="3" borderId="5" xfId="0" applyNumberFormat="1" applyFill="1" applyBorder="1" applyAlignment="1">
      <alignment horizontal="center" vertical="center" wrapText="1"/>
    </xf>
    <xf numFmtId="9" fontId="0" fillId="3" borderId="8" xfId="0" applyNumberFormat="1" applyFill="1" applyBorder="1" applyAlignment="1">
      <alignment horizontal="center" vertical="center" wrapText="1"/>
    </xf>
    <xf numFmtId="9" fontId="0" fillId="3" borderId="5" xfId="0" applyNumberFormat="1" applyFill="1" applyBorder="1" applyAlignment="1">
      <alignment horizontal="center"/>
    </xf>
    <xf numFmtId="166" fontId="0" fillId="3" borderId="5" xfId="0" applyNumberFormat="1" applyFill="1" applyBorder="1" applyAlignment="1">
      <alignment horizontal="center" vertical="center" wrapText="1"/>
    </xf>
    <xf numFmtId="164" fontId="0" fillId="3" borderId="5" xfId="0" applyNumberFormat="1" applyFill="1" applyBorder="1" applyAlignment="1">
      <alignment horizontal="center"/>
    </xf>
    <xf numFmtId="164" fontId="0" fillId="3" borderId="12" xfId="0" applyNumberFormat="1" applyFill="1" applyBorder="1" applyAlignment="1">
      <alignment horizontal="center" vertical="center" wrapText="1"/>
    </xf>
    <xf numFmtId="0" fontId="0" fillId="3" borderId="5" xfId="0" applyFill="1" applyBorder="1" applyAlignment="1">
      <alignment horizontal="center"/>
    </xf>
    <xf numFmtId="0" fontId="0" fillId="0" borderId="9" xfId="0" applyBorder="1" applyAlignment="1">
      <alignment horizontal="right"/>
    </xf>
    <xf numFmtId="0" fontId="0" fillId="0" borderId="10" xfId="0" applyBorder="1" applyAlignment="1">
      <alignment horizontal="right"/>
    </xf>
    <xf numFmtId="3" fontId="0" fillId="0" borderId="10" xfId="0" applyNumberFormat="1" applyBorder="1" applyAlignment="1">
      <alignment horizontal="right"/>
    </xf>
    <xf numFmtId="0" fontId="10" fillId="0" borderId="0" xfId="0" applyFont="1" applyFill="1" applyBorder="1"/>
    <xf numFmtId="0" fontId="0" fillId="0" borderId="4" xfId="0" applyBorder="1"/>
    <xf numFmtId="168" fontId="0" fillId="0" borderId="0" xfId="0" applyNumberFormat="1" applyBorder="1"/>
    <xf numFmtId="166" fontId="0" fillId="0" borderId="0" xfId="0" applyNumberFormat="1" applyBorder="1"/>
    <xf numFmtId="166" fontId="0" fillId="0" borderId="10" xfId="0" applyNumberFormat="1" applyBorder="1"/>
    <xf numFmtId="0" fontId="0" fillId="0" borderId="6" xfId="0" applyBorder="1"/>
    <xf numFmtId="168" fontId="0" fillId="0" borderId="1" xfId="0" applyNumberFormat="1" applyBorder="1"/>
    <xf numFmtId="166" fontId="0" fillId="0" borderId="1" xfId="0" applyNumberFormat="1" applyBorder="1"/>
    <xf numFmtId="166" fontId="0" fillId="0" borderId="11" xfId="0" applyNumberFormat="1" applyBorder="1"/>
    <xf numFmtId="0" fontId="10" fillId="0" borderId="14" xfId="0" applyFont="1" applyFill="1" applyBorder="1"/>
    <xf numFmtId="0" fontId="10" fillId="0" borderId="15" xfId="0" applyFont="1" applyBorder="1"/>
    <xf numFmtId="0" fontId="11" fillId="0" borderId="0" xfId="0" applyFont="1" applyFill="1" applyBorder="1"/>
    <xf numFmtId="165" fontId="0" fillId="2" borderId="16" xfId="0" applyNumberFormat="1" applyFill="1" applyBorder="1" applyAlignment="1">
      <alignment horizontal="right"/>
    </xf>
    <xf numFmtId="1" fontId="1" fillId="0" borderId="0" xfId="0" applyNumberFormat="1" applyFont="1" applyFill="1" applyAlignment="1">
      <alignment horizontal="center"/>
    </xf>
    <xf numFmtId="3" fontId="1" fillId="0" borderId="0" xfId="0" applyNumberFormat="1" applyFont="1" applyFill="1" applyAlignment="1">
      <alignment horizontal="center"/>
    </xf>
    <xf numFmtId="0" fontId="0" fillId="0" borderId="9" xfId="0" applyBorder="1"/>
    <xf numFmtId="0" fontId="10" fillId="0" borderId="2" xfId="0" applyFont="1" applyBorder="1"/>
    <xf numFmtId="0" fontId="10" fillId="0" borderId="6" xfId="0" applyFont="1" applyBorder="1"/>
    <xf numFmtId="0" fontId="0" fillId="0" borderId="10" xfId="0" applyFill="1" applyBorder="1" applyAlignment="1">
      <alignment horizontal="right"/>
    </xf>
    <xf numFmtId="0" fontId="0" fillId="0" borderId="2" xfId="0" applyBorder="1"/>
    <xf numFmtId="0" fontId="0" fillId="0" borderId="13" xfId="0" applyBorder="1"/>
    <xf numFmtId="166" fontId="0" fillId="0" borderId="0" xfId="1" applyNumberFormat="1" applyFont="1" applyBorder="1"/>
    <xf numFmtId="165" fontId="0" fillId="0" borderId="0" xfId="0" applyNumberFormat="1" applyBorder="1"/>
    <xf numFmtId="165" fontId="0" fillId="0" borderId="10" xfId="0" applyNumberFormat="1" applyBorder="1"/>
    <xf numFmtId="0" fontId="0" fillId="0" borderId="0" xfId="0" applyBorder="1"/>
    <xf numFmtId="0" fontId="0" fillId="0" borderId="1" xfId="0" applyBorder="1"/>
    <xf numFmtId="165" fontId="0" fillId="0" borderId="1" xfId="0" applyNumberFormat="1" applyBorder="1"/>
    <xf numFmtId="165" fontId="0" fillId="0" borderId="11" xfId="0" applyNumberFormat="1" applyBorder="1"/>
    <xf numFmtId="0" fontId="0" fillId="0" borderId="14" xfId="0" applyBorder="1"/>
    <xf numFmtId="166" fontId="0" fillId="0" borderId="15" xfId="0" applyNumberFormat="1" applyBorder="1"/>
    <xf numFmtId="166" fontId="0" fillId="0" borderId="16" xfId="0" applyNumberFormat="1" applyBorder="1"/>
    <xf numFmtId="0" fontId="0" fillId="0" borderId="15" xfId="0" applyBorder="1"/>
    <xf numFmtId="0" fontId="0" fillId="0" borderId="16" xfId="0" applyBorder="1"/>
    <xf numFmtId="0" fontId="0" fillId="0" borderId="9" xfId="0" applyFill="1" applyBorder="1" applyAlignment="1">
      <alignment horizontal="right"/>
    </xf>
    <xf numFmtId="3" fontId="0" fillId="0" borderId="10" xfId="0" applyNumberFormat="1" applyFill="1" applyBorder="1" applyAlignment="1">
      <alignment horizontal="right"/>
    </xf>
    <xf numFmtId="3" fontId="0" fillId="0" borderId="0" xfId="0" applyNumberFormat="1" applyBorder="1"/>
    <xf numFmtId="9" fontId="0" fillId="0" borderId="0" xfId="0" applyNumberFormat="1" applyBorder="1"/>
    <xf numFmtId="3" fontId="0" fillId="0" borderId="1" xfId="0" applyNumberFormat="1" applyBorder="1"/>
    <xf numFmtId="9" fontId="0" fillId="0" borderId="1" xfId="0" applyNumberFormat="1" applyBorder="1"/>
    <xf numFmtId="0" fontId="4" fillId="0" borderId="14" xfId="0" applyFont="1" applyBorder="1" applyAlignment="1">
      <alignment horizontal="center" vertical="center"/>
    </xf>
    <xf numFmtId="9" fontId="4" fillId="0" borderId="15" xfId="0" applyNumberFormat="1" applyFont="1" applyBorder="1" applyAlignment="1">
      <alignment horizontal="center" vertical="center"/>
    </xf>
    <xf numFmtId="9" fontId="4" fillId="0" borderId="16" xfId="0" applyNumberFormat="1" applyFont="1" applyBorder="1" applyAlignment="1">
      <alignment horizontal="center" vertical="center"/>
    </xf>
    <xf numFmtId="0" fontId="0" fillId="0" borderId="2" xfId="0" applyFont="1" applyBorder="1" applyAlignment="1">
      <alignment wrapText="1"/>
    </xf>
    <xf numFmtId="3" fontId="0" fillId="0" borderId="13" xfId="0" applyNumberFormat="1" applyFont="1" applyBorder="1" applyAlignment="1">
      <alignment horizontal="center"/>
    </xf>
    <xf numFmtId="3" fontId="0" fillId="0" borderId="9" xfId="0" applyNumberFormat="1" applyFont="1" applyBorder="1" applyAlignment="1">
      <alignment horizontal="center"/>
    </xf>
    <xf numFmtId="0" fontId="0" fillId="0" borderId="4" xfId="0" applyFont="1" applyBorder="1" applyAlignment="1">
      <alignment wrapText="1"/>
    </xf>
    <xf numFmtId="3" fontId="0" fillId="0" borderId="0" xfId="0" applyNumberFormat="1" applyFont="1" applyBorder="1" applyAlignment="1">
      <alignment horizontal="center"/>
    </xf>
    <xf numFmtId="3" fontId="0" fillId="0" borderId="10" xfId="0" applyNumberFormat="1" applyFont="1" applyBorder="1" applyAlignment="1">
      <alignment horizontal="center"/>
    </xf>
    <xf numFmtId="0" fontId="0" fillId="0" borderId="6" xfId="0" applyFont="1" applyBorder="1" applyAlignment="1">
      <alignment wrapText="1"/>
    </xf>
    <xf numFmtId="3" fontId="0" fillId="0" borderId="1" xfId="0" applyNumberFormat="1" applyFont="1" applyBorder="1" applyAlignment="1">
      <alignment horizontal="center"/>
    </xf>
    <xf numFmtId="3" fontId="0" fillId="0" borderId="11" xfId="0" applyNumberFormat="1" applyFont="1" applyBorder="1" applyAlignment="1">
      <alignment horizontal="center"/>
    </xf>
    <xf numFmtId="0" fontId="12" fillId="0" borderId="0" xfId="0" applyFont="1" applyFill="1"/>
    <xf numFmtId="0" fontId="0" fillId="0" borderId="2" xfId="0" applyFont="1" applyBorder="1"/>
    <xf numFmtId="1" fontId="0" fillId="0" borderId="13" xfId="0" applyNumberFormat="1" applyFont="1" applyFill="1" applyBorder="1" applyAlignment="1">
      <alignment horizontal="center"/>
    </xf>
    <xf numFmtId="3" fontId="0" fillId="0" borderId="9" xfId="0" applyNumberFormat="1" applyFont="1" applyFill="1" applyBorder="1" applyAlignment="1">
      <alignment horizontal="center"/>
    </xf>
    <xf numFmtId="0" fontId="0" fillId="0" borderId="4" xfId="0" applyFont="1" applyBorder="1"/>
    <xf numFmtId="0" fontId="0" fillId="0" borderId="0" xfId="0" applyFont="1" applyFill="1" applyBorder="1" applyAlignment="1">
      <alignment horizontal="center"/>
    </xf>
    <xf numFmtId="1" fontId="0" fillId="0" borderId="0" xfId="0" applyNumberFormat="1" applyFont="1" applyFill="1" applyBorder="1" applyAlignment="1">
      <alignment horizontal="center"/>
    </xf>
    <xf numFmtId="3" fontId="0" fillId="0" borderId="10" xfId="0" applyNumberFormat="1" applyFont="1" applyFill="1" applyBorder="1" applyAlignment="1">
      <alignment horizontal="center"/>
    </xf>
    <xf numFmtId="0" fontId="0" fillId="0" borderId="6" xfId="0" applyFont="1" applyBorder="1"/>
    <xf numFmtId="0" fontId="0" fillId="0" borderId="1" xfId="0" applyFont="1" applyFill="1" applyBorder="1" applyAlignment="1">
      <alignment horizontal="center"/>
    </xf>
    <xf numFmtId="1" fontId="0" fillId="0" borderId="1" xfId="0" applyNumberFormat="1" applyFont="1" applyFill="1" applyBorder="1" applyAlignment="1">
      <alignment horizontal="center"/>
    </xf>
    <xf numFmtId="3" fontId="0" fillId="0" borderId="11" xfId="0" applyNumberFormat="1" applyFont="1" applyFill="1" applyBorder="1" applyAlignment="1">
      <alignment horizontal="center"/>
    </xf>
    <xf numFmtId="0" fontId="0" fillId="0" borderId="0" xfId="0" applyAlignment="1"/>
    <xf numFmtId="0" fontId="13" fillId="0" borderId="0" xfId="0" applyFont="1"/>
    <xf numFmtId="0" fontId="15" fillId="0" borderId="0" xfId="0" applyFont="1"/>
    <xf numFmtId="164" fontId="0" fillId="0" borderId="0" xfId="2" applyNumberFormat="1" applyFont="1" applyBorder="1"/>
    <xf numFmtId="164" fontId="0" fillId="0" borderId="1" xfId="2" applyNumberFormat="1" applyFont="1" applyBorder="1"/>
    <xf numFmtId="0" fontId="4" fillId="0" borderId="14" xfId="0" applyFont="1" applyFill="1" applyBorder="1" applyAlignment="1">
      <alignment horizontal="lef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17" fillId="0" borderId="0" xfId="0" applyFont="1"/>
    <xf numFmtId="0" fontId="1" fillId="0" borderId="0" xfId="0" applyFont="1" applyFill="1" applyAlignment="1">
      <alignment horizontal="center" vertical="center" wrapText="1"/>
    </xf>
    <xf numFmtId="0" fontId="2" fillId="0" borderId="0" xfId="0" applyFont="1" applyFill="1" applyAlignment="1">
      <alignment horizontal="center" vertical="center"/>
    </xf>
    <xf numFmtId="9" fontId="1" fillId="0" borderId="0" xfId="0" applyNumberFormat="1" applyFont="1" applyFill="1" applyAlignment="1">
      <alignment horizontal="center" vertical="center"/>
    </xf>
    <xf numFmtId="0" fontId="1" fillId="0" borderId="0" xfId="0" quotePrefix="1" applyFont="1" applyFill="1"/>
    <xf numFmtId="0" fontId="1" fillId="0" borderId="0" xfId="0" applyFont="1" applyFill="1" applyAlignment="1">
      <alignment wrapText="1"/>
    </xf>
    <xf numFmtId="0" fontId="17" fillId="0" borderId="4" xfId="0" applyFont="1" applyFill="1" applyBorder="1" applyAlignment="1"/>
    <xf numFmtId="0" fontId="17" fillId="0" borderId="0" xfId="0" applyFont="1" applyFill="1" applyBorder="1"/>
    <xf numFmtId="0" fontId="4" fillId="0" borderId="14" xfId="0" applyFont="1" applyBorder="1"/>
    <xf numFmtId="0" fontId="4" fillId="0" borderId="15" xfId="0" applyFont="1" applyFill="1" applyBorder="1" applyAlignment="1">
      <alignment horizontal="center"/>
    </xf>
    <xf numFmtId="0" fontId="4" fillId="0" borderId="16" xfId="0" applyFont="1" applyFill="1" applyBorder="1" applyAlignment="1">
      <alignment horizontal="center"/>
    </xf>
    <xf numFmtId="3" fontId="0" fillId="0" borderId="0" xfId="0" applyNumberFormat="1"/>
    <xf numFmtId="0" fontId="10" fillId="0" borderId="4" xfId="0" applyFont="1" applyFill="1" applyBorder="1"/>
    <xf numFmtId="0" fontId="10" fillId="0" borderId="2" xfId="0" applyFont="1" applyFill="1" applyBorder="1"/>
    <xf numFmtId="0" fontId="10" fillId="0" borderId="6" xfId="0" applyFont="1" applyFill="1" applyBorder="1"/>
    <xf numFmtId="0" fontId="10" fillId="0" borderId="0" xfId="0" applyFont="1"/>
    <xf numFmtId="0" fontId="9" fillId="0" borderId="0" xfId="0" applyFont="1"/>
    <xf numFmtId="0" fontId="16" fillId="0" borderId="0" xfId="0" applyFont="1" applyFill="1"/>
    <xf numFmtId="0" fontId="4" fillId="0" borderId="0" xfId="0" applyFont="1" applyFill="1"/>
    <xf numFmtId="3" fontId="0" fillId="0" borderId="10" xfId="0" applyNumberFormat="1" applyBorder="1"/>
    <xf numFmtId="165" fontId="0" fillId="0" borderId="13" xfId="0" applyNumberFormat="1" applyBorder="1"/>
    <xf numFmtId="165" fontId="0" fillId="0" borderId="9" xfId="0" applyNumberFormat="1" applyBorder="1"/>
    <xf numFmtId="0" fontId="10" fillId="0" borderId="14" xfId="0" applyFont="1" applyBorder="1"/>
    <xf numFmtId="0" fontId="18" fillId="0" borderId="0" xfId="0" applyFont="1"/>
    <xf numFmtId="0" fontId="4" fillId="0" borderId="15" xfId="0" applyFont="1" applyBorder="1"/>
    <xf numFmtId="0" fontId="4" fillId="0" borderId="16" xfId="0" applyFont="1" applyBorder="1"/>
    <xf numFmtId="0" fontId="10" fillId="0" borderId="0" xfId="0" applyFont="1" applyFill="1"/>
    <xf numFmtId="0" fontId="0" fillId="0" borderId="17" xfId="0" applyBorder="1"/>
    <xf numFmtId="0" fontId="0" fillId="0" borderId="18" xfId="0" applyBorder="1"/>
    <xf numFmtId="0" fontId="0" fillId="0" borderId="19" xfId="0" applyBorder="1"/>
    <xf numFmtId="0" fontId="10" fillId="0" borderId="17" xfId="0" applyFont="1" applyBorder="1"/>
    <xf numFmtId="2" fontId="0" fillId="0" borderId="0" xfId="0" applyNumberFormat="1" applyBorder="1"/>
    <xf numFmtId="0" fontId="0" fillId="0" borderId="0" xfId="0" applyFont="1"/>
    <xf numFmtId="0" fontId="0" fillId="0" borderId="13" xfId="0" applyFill="1" applyBorder="1" applyAlignment="1">
      <alignment wrapText="1"/>
    </xf>
    <xf numFmtId="168" fontId="0" fillId="0" borderId="10" xfId="0" applyNumberFormat="1" applyBorder="1"/>
    <xf numFmtId="168" fontId="0" fillId="0" borderId="11" xfId="0" applyNumberFormat="1" applyBorder="1"/>
    <xf numFmtId="0" fontId="0" fillId="0" borderId="9" xfId="0" applyFill="1" applyBorder="1"/>
    <xf numFmtId="0" fontId="0" fillId="0" borderId="2" xfId="0" applyFill="1" applyBorder="1"/>
    <xf numFmtId="0" fontId="0" fillId="0" borderId="13" xfId="0" applyFill="1" applyBorder="1"/>
    <xf numFmtId="0" fontId="0" fillId="0" borderId="13" xfId="0" applyFont="1" applyFill="1" applyBorder="1" applyAlignment="1">
      <alignment horizontal="center" wrapText="1"/>
    </xf>
    <xf numFmtId="0" fontId="17" fillId="0" borderId="0" xfId="0" applyFont="1" applyFill="1"/>
    <xf numFmtId="0" fontId="16" fillId="0" borderId="0" xfId="0" applyFont="1"/>
    <xf numFmtId="3" fontId="0" fillId="0" borderId="18" xfId="0" applyNumberFormat="1" applyFont="1" applyFill="1" applyBorder="1" applyAlignment="1">
      <alignment horizontal="center"/>
    </xf>
    <xf numFmtId="3" fontId="0" fillId="0" borderId="19" xfId="0" applyNumberFormat="1" applyFont="1" applyFill="1" applyBorder="1" applyAlignment="1">
      <alignment horizontal="center"/>
    </xf>
    <xf numFmtId="0" fontId="0" fillId="0" borderId="20" xfId="0" applyBorder="1"/>
    <xf numFmtId="0" fontId="0" fillId="0" borderId="11" xfId="0" applyFill="1" applyBorder="1" applyAlignment="1">
      <alignment horizontal="right"/>
    </xf>
    <xf numFmtId="16" fontId="0" fillId="4" borderId="21" xfId="0" applyNumberFormat="1" applyFill="1" applyBorder="1" applyAlignment="1">
      <alignment horizontal="left"/>
    </xf>
    <xf numFmtId="0" fontId="19" fillId="0" borderId="0" xfId="0" applyFont="1"/>
    <xf numFmtId="16" fontId="0" fillId="0" borderId="0" xfId="0" applyNumberFormat="1" applyFill="1" applyBorder="1" applyAlignment="1">
      <alignment horizontal="left"/>
    </xf>
    <xf numFmtId="0" fontId="0" fillId="4" borderId="13" xfId="0" applyFill="1" applyBorder="1"/>
    <xf numFmtId="0" fontId="0" fillId="4" borderId="9" xfId="0" applyFill="1" applyBorder="1"/>
    <xf numFmtId="0" fontId="0" fillId="4" borderId="0" xfId="0" applyFill="1" applyBorder="1"/>
    <xf numFmtId="0" fontId="0" fillId="4" borderId="10" xfId="0" applyFill="1" applyBorder="1"/>
    <xf numFmtId="0" fontId="0" fillId="4" borderId="1" xfId="0" applyFill="1" applyBorder="1"/>
    <xf numFmtId="0" fontId="0" fillId="4" borderId="11" xfId="0" applyFill="1" applyBorder="1"/>
    <xf numFmtId="2" fontId="0" fillId="4" borderId="2" xfId="0" applyNumberFormat="1" applyFill="1" applyBorder="1"/>
    <xf numFmtId="2" fontId="0" fillId="4" borderId="13" xfId="0" applyNumberFormat="1" applyFill="1" applyBorder="1"/>
    <xf numFmtId="2" fontId="0" fillId="4" borderId="9" xfId="0" applyNumberFormat="1" applyFill="1" applyBorder="1"/>
    <xf numFmtId="2" fontId="0" fillId="4" borderId="4" xfId="0" applyNumberFormat="1" applyFill="1" applyBorder="1"/>
    <xf numFmtId="2" fontId="0" fillId="4" borderId="0" xfId="0" applyNumberFormat="1" applyFill="1" applyBorder="1"/>
    <xf numFmtId="2" fontId="0" fillId="4" borderId="10" xfId="0" applyNumberFormat="1" applyFill="1" applyBorder="1"/>
    <xf numFmtId="2" fontId="0" fillId="4" borderId="6" xfId="0" applyNumberFormat="1" applyFill="1" applyBorder="1"/>
    <xf numFmtId="2" fontId="0" fillId="4" borderId="1" xfId="0" applyNumberFormat="1" applyFill="1" applyBorder="1"/>
    <xf numFmtId="2" fontId="0" fillId="4" borderId="11" xfId="0" applyNumberFormat="1" applyFill="1" applyBorder="1"/>
    <xf numFmtId="0" fontId="0" fillId="4" borderId="4" xfId="0" applyFill="1" applyBorder="1"/>
    <xf numFmtId="0" fontId="0" fillId="4" borderId="2" xfId="0" applyFill="1" applyBorder="1"/>
    <xf numFmtId="0" fontId="16" fillId="0" borderId="0" xfId="0" applyFont="1" applyAlignment="1">
      <alignment horizontal="left"/>
    </xf>
    <xf numFmtId="9" fontId="16" fillId="0" borderId="0" xfId="0" applyNumberFormat="1" applyFont="1" applyAlignment="1">
      <alignment horizontal="left"/>
    </xf>
    <xf numFmtId="10" fontId="16" fillId="0" borderId="0" xfId="0" applyNumberFormat="1" applyFont="1" applyAlignment="1">
      <alignment horizontal="left"/>
    </xf>
    <xf numFmtId="6" fontId="16" fillId="0" borderId="0" xfId="0" applyNumberFormat="1" applyFont="1" applyAlignment="1">
      <alignment horizontal="left"/>
    </xf>
    <xf numFmtId="9" fontId="0" fillId="5" borderId="5" xfId="0" applyNumberFormat="1" applyFill="1" applyBorder="1" applyAlignment="1">
      <alignment horizontal="center" vertical="center" wrapText="1"/>
    </xf>
    <xf numFmtId="0" fontId="0" fillId="5" borderId="3" xfId="0" applyFill="1" applyBorder="1" applyAlignment="1">
      <alignment horizontal="center" vertical="center" wrapText="1"/>
    </xf>
    <xf numFmtId="0" fontId="0" fillId="5" borderId="5" xfId="0" applyFill="1" applyBorder="1" applyAlignment="1">
      <alignment horizontal="center" vertical="center" wrapText="1"/>
    </xf>
    <xf numFmtId="164" fontId="0" fillId="5" borderId="5" xfId="0" applyNumberFormat="1" applyFill="1" applyBorder="1" applyAlignment="1">
      <alignment horizontal="center" vertical="center" wrapText="1"/>
    </xf>
    <xf numFmtId="166" fontId="0" fillId="5" borderId="7" xfId="0" applyNumberFormat="1" applyFill="1" applyBorder="1" applyAlignment="1">
      <alignment horizontal="center" vertical="center" wrapText="1"/>
    </xf>
    <xf numFmtId="0" fontId="0" fillId="5" borderId="7" xfId="0" applyFill="1" applyBorder="1" applyAlignment="1">
      <alignment horizontal="center" vertical="center" wrapText="1"/>
    </xf>
    <xf numFmtId="9" fontId="0" fillId="0" borderId="5" xfId="0" applyNumberFormat="1" applyFill="1" applyBorder="1" applyAlignment="1">
      <alignment horizontal="center"/>
    </xf>
    <xf numFmtId="166" fontId="0" fillId="0" borderId="5" xfId="0" applyNumberFormat="1" applyFill="1" applyBorder="1" applyAlignment="1">
      <alignment horizontal="center" vertical="center" wrapText="1"/>
    </xf>
    <xf numFmtId="164" fontId="0" fillId="0" borderId="5" xfId="0" applyNumberFormat="1" applyFill="1" applyBorder="1" applyAlignment="1">
      <alignment horizontal="center"/>
    </xf>
    <xf numFmtId="164" fontId="3" fillId="0" borderId="7" xfId="0" applyNumberFormat="1" applyFont="1"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66" fontId="0" fillId="0" borderId="0" xfId="0" applyNumberFormat="1" applyFill="1" applyBorder="1"/>
    <xf numFmtId="166" fontId="0" fillId="0" borderId="15" xfId="0" applyNumberFormat="1" applyFill="1" applyBorder="1"/>
    <xf numFmtId="0" fontId="0" fillId="0" borderId="0" xfId="0" applyFill="1"/>
    <xf numFmtId="0" fontId="10" fillId="0" borderId="2" xfId="0" applyFont="1" applyBorder="1" applyAlignment="1">
      <alignment horizontal="left"/>
    </xf>
    <xf numFmtId="166" fontId="0" fillId="0" borderId="1" xfId="0" applyNumberFormat="1" applyFill="1" applyBorder="1"/>
    <xf numFmtId="3" fontId="0" fillId="0" borderId="11" xfId="0" applyNumberFormat="1" applyFill="1" applyBorder="1" applyAlignment="1">
      <alignment horizontal="right"/>
    </xf>
    <xf numFmtId="3" fontId="0" fillId="0" borderId="13" xfId="0" applyNumberFormat="1" applyBorder="1"/>
    <xf numFmtId="9" fontId="0" fillId="0" borderId="13" xfId="0" applyNumberFormat="1" applyBorder="1"/>
    <xf numFmtId="164" fontId="0" fillId="0" borderId="13" xfId="2" applyNumberFormat="1" applyFont="1" applyBorder="1"/>
    <xf numFmtId="168" fontId="0" fillId="0" borderId="13" xfId="0" applyNumberFormat="1" applyBorder="1"/>
    <xf numFmtId="168" fontId="0" fillId="0" borderId="9" xfId="0" applyNumberFormat="1" applyBorder="1"/>
    <xf numFmtId="0" fontId="0" fillId="0" borderId="14" xfId="0" applyBorder="1" applyAlignment="1">
      <alignment wrapText="1"/>
    </xf>
    <xf numFmtId="0" fontId="0" fillId="0" borderId="15" xfId="0" applyBorder="1" applyAlignment="1">
      <alignment wrapText="1"/>
    </xf>
    <xf numFmtId="0" fontId="0" fillId="0" borderId="15" xfId="0" applyFill="1" applyBorder="1" applyAlignment="1">
      <alignment wrapText="1"/>
    </xf>
    <xf numFmtId="0" fontId="8" fillId="0" borderId="15" xfId="0" applyFont="1" applyBorder="1" applyAlignment="1">
      <alignment wrapText="1"/>
    </xf>
    <xf numFmtId="168" fontId="8" fillId="0" borderId="16" xfId="0" applyNumberFormat="1" applyFont="1" applyBorder="1"/>
    <xf numFmtId="0" fontId="0" fillId="0" borderId="14" xfId="0" applyFill="1" applyBorder="1"/>
    <xf numFmtId="0" fontId="0" fillId="0" borderId="15" xfId="0" applyFill="1" applyBorder="1"/>
    <xf numFmtId="2" fontId="0" fillId="0" borderId="16" xfId="0" applyNumberFormat="1" applyFill="1" applyBorder="1"/>
    <xf numFmtId="164" fontId="16" fillId="0" borderId="0" xfId="0" applyNumberFormat="1" applyFont="1" applyAlignment="1">
      <alignment horizontal="left"/>
    </xf>
    <xf numFmtId="10" fontId="0" fillId="5" borderId="3" xfId="0" applyNumberFormat="1" applyFill="1" applyBorder="1" applyAlignment="1">
      <alignment horizontal="center" vertical="center" wrapText="1"/>
    </xf>
    <xf numFmtId="0" fontId="10" fillId="0" borderId="6" xfId="0" applyFont="1" applyBorder="1" applyAlignment="1">
      <alignment horizontal="left"/>
    </xf>
    <xf numFmtId="3" fontId="0" fillId="2" borderId="11" xfId="0" applyNumberFormat="1" applyFill="1" applyBorder="1" applyAlignment="1">
      <alignment horizontal="right"/>
    </xf>
    <xf numFmtId="3" fontId="0" fillId="0" borderId="11" xfId="0" applyNumberFormat="1" applyBorder="1" applyAlignment="1">
      <alignment horizontal="right"/>
    </xf>
    <xf numFmtId="10" fontId="0" fillId="5" borderId="5" xfId="0" applyNumberFormat="1" applyFill="1" applyBorder="1" applyAlignment="1">
      <alignment horizontal="center" vertical="center" wrapText="1"/>
    </xf>
    <xf numFmtId="166" fontId="0" fillId="0" borderId="9" xfId="0" applyNumberFormat="1" applyBorder="1" applyAlignment="1">
      <alignment horizontal="right"/>
    </xf>
    <xf numFmtId="166" fontId="0" fillId="2" borderId="10" xfId="0" applyNumberFormat="1" applyFill="1" applyBorder="1" applyAlignment="1">
      <alignment horizontal="right"/>
    </xf>
    <xf numFmtId="166" fontId="0" fillId="0" borderId="9" xfId="0" applyNumberFormat="1" applyFill="1" applyBorder="1" applyAlignment="1">
      <alignment horizontal="right"/>
    </xf>
    <xf numFmtId="167" fontId="0" fillId="4" borderId="13" xfId="0" applyNumberFormat="1" applyFont="1" applyFill="1" applyBorder="1" applyAlignment="1">
      <alignment horizontal="center"/>
    </xf>
    <xf numFmtId="166" fontId="0" fillId="4" borderId="13" xfId="0" applyNumberFormat="1" applyFont="1" applyFill="1" applyBorder="1" applyAlignment="1">
      <alignment horizontal="center"/>
    </xf>
    <xf numFmtId="3" fontId="0" fillId="4" borderId="13" xfId="0" applyNumberFormat="1" applyFont="1" applyFill="1" applyBorder="1"/>
    <xf numFmtId="169" fontId="0" fillId="4" borderId="9" xfId="0" applyNumberFormat="1" applyFont="1" applyFill="1" applyBorder="1"/>
    <xf numFmtId="167" fontId="0" fillId="4" borderId="0" xfId="0" applyNumberFormat="1" applyFont="1" applyFill="1" applyBorder="1" applyAlignment="1">
      <alignment horizontal="center"/>
    </xf>
    <xf numFmtId="166" fontId="0" fillId="4" borderId="0" xfId="0" applyNumberFormat="1" applyFont="1" applyFill="1" applyBorder="1" applyAlignment="1">
      <alignment horizontal="center"/>
    </xf>
    <xf numFmtId="3" fontId="0" fillId="4" borderId="0" xfId="0" applyNumberFormat="1" applyFont="1" applyFill="1" applyBorder="1"/>
    <xf numFmtId="169" fontId="0" fillId="4" borderId="10" xfId="0" applyNumberFormat="1" applyFont="1" applyFill="1" applyBorder="1"/>
    <xf numFmtId="167" fontId="0" fillId="4" borderId="1" xfId="0" applyNumberFormat="1" applyFont="1" applyFill="1" applyBorder="1" applyAlignment="1">
      <alignment horizontal="center"/>
    </xf>
    <xf numFmtId="166" fontId="0" fillId="4" borderId="1" xfId="0" applyNumberFormat="1" applyFont="1" applyFill="1" applyBorder="1" applyAlignment="1">
      <alignment horizontal="center"/>
    </xf>
    <xf numFmtId="3" fontId="0" fillId="4" borderId="1" xfId="0" applyNumberFormat="1" applyFont="1" applyFill="1" applyBorder="1"/>
    <xf numFmtId="169" fontId="0" fillId="4" borderId="11" xfId="0" applyNumberFormat="1" applyFont="1" applyFill="1" applyBorder="1"/>
    <xf numFmtId="165" fontId="0" fillId="0" borderId="11" xfId="0" applyNumberFormat="1" applyFill="1" applyBorder="1" applyAlignment="1">
      <alignment horizontal="right"/>
    </xf>
    <xf numFmtId="0" fontId="10" fillId="0" borderId="0" xfId="0" applyFont="1" applyBorder="1" applyAlignment="1">
      <alignment horizontal="left"/>
    </xf>
    <xf numFmtId="0" fontId="10" fillId="2" borderId="0" xfId="0" applyFont="1" applyFill="1" applyBorder="1" applyAlignment="1">
      <alignment horizontal="left"/>
    </xf>
    <xf numFmtId="0" fontId="10" fillId="2" borderId="1" xfId="0" applyFont="1" applyFill="1" applyBorder="1" applyAlignment="1">
      <alignment horizontal="left"/>
    </xf>
    <xf numFmtId="0" fontId="10" fillId="2" borderId="15" xfId="0" applyFont="1" applyFill="1" applyBorder="1" applyAlignment="1">
      <alignment horizontal="left"/>
    </xf>
    <xf numFmtId="0" fontId="10" fillId="0" borderId="13" xfId="0" applyFont="1" applyBorder="1" applyAlignment="1">
      <alignment horizontal="left"/>
    </xf>
    <xf numFmtId="0" fontId="10" fillId="0" borderId="1" xfId="0" applyFont="1" applyBorder="1" applyAlignment="1">
      <alignment horizontal="left"/>
    </xf>
    <xf numFmtId="0" fontId="10" fillId="2" borderId="2" xfId="0" applyFont="1" applyFill="1" applyBorder="1" applyAlignment="1"/>
    <xf numFmtId="0" fontId="10" fillId="2" borderId="0" xfId="0" applyFont="1" applyFill="1" applyBorder="1" applyAlignment="1"/>
    <xf numFmtId="0" fontId="10" fillId="2" borderId="6" xfId="0" applyFont="1" applyFill="1" applyBorder="1" applyAlignment="1"/>
    <xf numFmtId="0" fontId="10" fillId="2" borderId="1" xfId="0" applyFont="1" applyFill="1" applyBorder="1" applyAlignment="1"/>
    <xf numFmtId="0" fontId="10" fillId="0" borderId="16" xfId="0" applyFont="1" applyFill="1" applyBorder="1"/>
    <xf numFmtId="0" fontId="0" fillId="0" borderId="0" xfId="0" applyAlignment="1">
      <alignment horizontal="left" wrapText="1"/>
    </xf>
    <xf numFmtId="0" fontId="14"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left" wrapText="1"/>
    </xf>
    <xf numFmtId="0" fontId="9" fillId="0" borderId="0" xfId="0" applyFont="1" applyAlignment="1">
      <alignment horizontal="left"/>
    </xf>
    <xf numFmtId="0" fontId="6" fillId="0" borderId="0" xfId="0" applyFont="1" applyAlignment="1">
      <alignment horizontal="center"/>
    </xf>
    <xf numFmtId="0" fontId="10" fillId="0" borderId="4" xfId="0" applyFont="1" applyBorder="1" applyAlignment="1">
      <alignment horizontal="left"/>
    </xf>
    <xf numFmtId="0" fontId="10" fillId="0" borderId="0" xfId="0" applyFont="1" applyBorder="1" applyAlignment="1">
      <alignment horizontal="left"/>
    </xf>
    <xf numFmtId="0" fontId="10" fillId="2" borderId="14" xfId="0" applyFont="1" applyFill="1" applyBorder="1" applyAlignment="1">
      <alignment horizontal="left"/>
    </xf>
    <xf numFmtId="0" fontId="10" fillId="2" borderId="15" xfId="0" applyFont="1" applyFill="1" applyBorder="1" applyAlignment="1">
      <alignment horizontal="left"/>
    </xf>
    <xf numFmtId="0" fontId="10" fillId="0" borderId="2" xfId="0" applyFont="1" applyBorder="1" applyAlignment="1">
      <alignment horizontal="left"/>
    </xf>
    <xf numFmtId="0" fontId="10" fillId="0" borderId="13" xfId="0" applyFont="1" applyBorder="1" applyAlignment="1">
      <alignment horizontal="left"/>
    </xf>
    <xf numFmtId="0" fontId="12" fillId="0" borderId="14"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12" fillId="0" borderId="4" xfId="0" applyFont="1" applyBorder="1" applyAlignment="1">
      <alignment horizontal="left"/>
    </xf>
    <xf numFmtId="0" fontId="12" fillId="0" borderId="10" xfId="0" applyFont="1" applyBorder="1" applyAlignment="1">
      <alignment horizontal="left"/>
    </xf>
    <xf numFmtId="0" fontId="12" fillId="0" borderId="0" xfId="0" applyFont="1" applyBorder="1" applyAlignment="1">
      <alignment horizontal="left"/>
    </xf>
    <xf numFmtId="0" fontId="12" fillId="0" borderId="14" xfId="0" applyFont="1" applyBorder="1" applyAlignment="1">
      <alignment horizontal="left"/>
    </xf>
    <xf numFmtId="0" fontId="12" fillId="0" borderId="15" xfId="0" applyFont="1" applyBorder="1" applyAlignment="1">
      <alignment horizontal="left"/>
    </xf>
    <xf numFmtId="0" fontId="12" fillId="0" borderId="16" xfId="0" applyFont="1" applyBorder="1" applyAlignment="1">
      <alignment horizontal="left"/>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0" fillId="0" borderId="17" xfId="0" applyBorder="1" applyAlignment="1">
      <alignment horizontal="left" vertical="center"/>
    </xf>
    <xf numFmtId="0" fontId="0" fillId="0" borderId="19" xfId="0" applyBorder="1" applyAlignment="1">
      <alignment horizontal="left"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Costs and MWh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1556035439"/>
        <c:axId val="1906823727"/>
        <c:extLst>
          <c:ext xmlns:c15="http://schemas.microsoft.com/office/drawing/2012/chart" uri="{02D57815-91ED-43cb-92C2-25804820EDAC}">
            <c15:filteredBarSeries>
              <c15:ser>
                <c:idx val="0"/>
                <c:order val="0"/>
                <c:tx>
                  <c:strRef>
                    <c:extLst>
                      <c:ext uri="{02D57815-91ED-43cb-92C2-25804820EDAC}">
                        <c15:formulaRef>
                          <c15:sqref>Calculations!$A$51</c15:sqref>
                        </c15:formulaRef>
                      </c:ext>
                    </c:extLst>
                    <c:strCache>
                      <c:ptCount val="1"/>
                      <c:pt idx="0">
                        <c:v>Year</c:v>
                      </c:pt>
                    </c:strCache>
                  </c:strRef>
                </c:tx>
                <c:spPr>
                  <a:solidFill>
                    <a:schemeClr val="accent1"/>
                  </a:solidFill>
                  <a:ln>
                    <a:noFill/>
                  </a:ln>
                  <a:effectLst/>
                </c:spPr>
                <c:invertIfNegative val="0"/>
                <c:val>
                  <c:numRef>
                    <c:extLst>
                      <c:ext uri="{02D57815-91ED-43cb-92C2-25804820EDAC}">
                        <c15:formulaRef>
                          <c15:sqref>Calculations!$A$52:$A$81</c15:sqref>
                        </c15:formulaRef>
                      </c:ext>
                    </c:extLst>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val>
                <c:extLst>
                  <c:ext xmlns:c16="http://schemas.microsoft.com/office/drawing/2014/chart" uri="{C3380CC4-5D6E-409C-BE32-E72D297353CC}">
                    <c16:uniqueId val="{00000002-4299-4C12-8DFB-0A24D53E6D97}"/>
                  </c:ext>
                </c:extLst>
              </c15:ser>
            </c15:filteredBarSeries>
          </c:ext>
        </c:extLst>
      </c:barChart>
      <c:lineChart>
        <c:grouping val="stacked"/>
        <c:varyColors val="0"/>
        <c:ser>
          <c:idx val="1"/>
          <c:order val="1"/>
          <c:tx>
            <c:strRef>
              <c:f>Calculations!$B$51</c:f>
              <c:strCache>
                <c:ptCount val="1"/>
                <c:pt idx="0">
                  <c:v>Cost</c:v>
                </c:pt>
              </c:strCache>
            </c:strRef>
          </c:tx>
          <c:spPr>
            <a:ln w="28575" cap="rnd">
              <a:solidFill>
                <a:schemeClr val="accent1">
                  <a:lumMod val="75000"/>
                </a:schemeClr>
              </a:solidFill>
              <a:round/>
            </a:ln>
            <a:effectLst/>
          </c:spPr>
          <c:marker>
            <c:symbol val="circle"/>
            <c:size val="5"/>
            <c:spPr>
              <a:solidFill>
                <a:schemeClr val="accent1">
                  <a:lumMod val="75000"/>
                </a:schemeClr>
              </a:solidFill>
              <a:ln w="9525">
                <a:solidFill>
                  <a:schemeClr val="accent1">
                    <a:lumMod val="75000"/>
                  </a:schemeClr>
                </a:solidFill>
              </a:ln>
              <a:effectLst/>
            </c:spPr>
          </c:marker>
          <c:val>
            <c:numRef>
              <c:f>Calculations!$B$52:$B$81</c:f>
              <c:numCache>
                <c:formatCode>"$"#,##0.00</c:formatCode>
                <c:ptCount val="30"/>
                <c:pt idx="0">
                  <c:v>17020750</c:v>
                </c:pt>
                <c:pt idx="1">
                  <c:v>8948826.8371019978</c:v>
                </c:pt>
                <c:pt idx="2">
                  <c:v>8169112.025429111</c:v>
                </c:pt>
                <c:pt idx="3">
                  <c:v>7469337.4036357868</c:v>
                </c:pt>
                <c:pt idx="4">
                  <c:v>6816932.0516399052</c:v>
                </c:pt>
                <c:pt idx="5">
                  <c:v>6207926.1128136544</c:v>
                </c:pt>
                <c:pt idx="6">
                  <c:v>5647572.8620412285</c:v>
                </c:pt>
                <c:pt idx="7">
                  <c:v>5152128.1928690886</c:v>
                </c:pt>
                <c:pt idx="8">
                  <c:v>7414373.4768633181</c:v>
                </c:pt>
                <c:pt idx="9">
                  <c:v>4824940.3141045002</c:v>
                </c:pt>
                <c:pt idx="10">
                  <c:v>4406012.0787568735</c:v>
                </c:pt>
                <c:pt idx="11">
                  <c:v>4007084.2720166808</c:v>
                </c:pt>
                <c:pt idx="12">
                  <c:v>3664468.1873942902</c:v>
                </c:pt>
                <c:pt idx="13">
                  <c:v>3344550.0454233899</c:v>
                </c:pt>
                <c:pt idx="14">
                  <c:v>3060300.8400148586</c:v>
                </c:pt>
                <c:pt idx="15">
                  <c:v>2796426.8695529704</c:v>
                </c:pt>
                <c:pt idx="16">
                  <c:v>2553333.6781625566</c:v>
                </c:pt>
                <c:pt idx="17">
                  <c:v>3757759.3356684148</c:v>
                </c:pt>
                <c:pt idx="18">
                  <c:v>2433957.3735223045</c:v>
                </c:pt>
                <c:pt idx="19">
                  <c:v>2227795.9822053155</c:v>
                </c:pt>
                <c:pt idx="20">
                  <c:v>2037604.5813421344</c:v>
                </c:pt>
                <c:pt idx="21">
                  <c:v>1856207.8839602647</c:v>
                </c:pt>
                <c:pt idx="22">
                  <c:v>1700455.0978311726</c:v>
                </c:pt>
                <c:pt idx="23">
                  <c:v>1551249.8219228499</c:v>
                </c:pt>
                <c:pt idx="24">
                  <c:v>1420983.1642585909</c:v>
                </c:pt>
                <c:pt idx="25">
                  <c:v>1297697.5289334708</c:v>
                </c:pt>
                <c:pt idx="26">
                  <c:v>1909102.501481314</c:v>
                </c:pt>
                <c:pt idx="27">
                  <c:v>1237023.0268257381</c:v>
                </c:pt>
                <c:pt idx="28">
                  <c:v>1131320.2509147692</c:v>
                </c:pt>
                <c:pt idx="29">
                  <c:v>1058468.865617068</c:v>
                </c:pt>
              </c:numCache>
            </c:numRef>
          </c:val>
          <c:smooth val="0"/>
          <c:extLst>
            <c:ext xmlns:c16="http://schemas.microsoft.com/office/drawing/2014/chart" uri="{C3380CC4-5D6E-409C-BE32-E72D297353CC}">
              <c16:uniqueId val="{00000000-4299-4C12-8DFB-0A24D53E6D97}"/>
            </c:ext>
          </c:extLst>
        </c:ser>
        <c:dLbls>
          <c:showLegendKey val="0"/>
          <c:showVal val="0"/>
          <c:showCatName val="0"/>
          <c:showSerName val="0"/>
          <c:showPercent val="0"/>
          <c:showBubbleSize val="0"/>
        </c:dLbls>
        <c:marker val="1"/>
        <c:smooth val="0"/>
        <c:axId val="1556035439"/>
        <c:axId val="1906823727"/>
      </c:lineChart>
      <c:lineChart>
        <c:grouping val="stacked"/>
        <c:varyColors val="0"/>
        <c:ser>
          <c:idx val="2"/>
          <c:order val="2"/>
          <c:tx>
            <c:strRef>
              <c:f>Calculations!$C$51</c:f>
              <c:strCache>
                <c:ptCount val="1"/>
                <c:pt idx="0">
                  <c:v>MWh</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Calculations!$C$52:$C$81</c:f>
              <c:numCache>
                <c:formatCode>#,##0.0</c:formatCode>
                <c:ptCount val="30"/>
                <c:pt idx="0">
                  <c:v>35000</c:v>
                </c:pt>
                <c:pt idx="1">
                  <c:v>34475</c:v>
                </c:pt>
                <c:pt idx="2">
                  <c:v>33957.875</c:v>
                </c:pt>
                <c:pt idx="3">
                  <c:v>33448.506874999999</c:v>
                </c:pt>
                <c:pt idx="4">
                  <c:v>32946.779271874999</c:v>
                </c:pt>
                <c:pt idx="5">
                  <c:v>32452.577582796872</c:v>
                </c:pt>
                <c:pt idx="6">
                  <c:v>31965.788919054918</c:v>
                </c:pt>
                <c:pt idx="7">
                  <c:v>31486.302085269093</c:v>
                </c:pt>
                <c:pt idx="8">
                  <c:v>35000</c:v>
                </c:pt>
                <c:pt idx="9">
                  <c:v>34475</c:v>
                </c:pt>
                <c:pt idx="10">
                  <c:v>33957.875</c:v>
                </c:pt>
                <c:pt idx="11">
                  <c:v>33448.506874999999</c:v>
                </c:pt>
                <c:pt idx="12">
                  <c:v>32946.779271874999</c:v>
                </c:pt>
                <c:pt idx="13">
                  <c:v>32452.577582796872</c:v>
                </c:pt>
                <c:pt idx="14">
                  <c:v>31965.788919054918</c:v>
                </c:pt>
                <c:pt idx="15">
                  <c:v>31486.302085269093</c:v>
                </c:pt>
                <c:pt idx="16">
                  <c:v>31014.007553990057</c:v>
                </c:pt>
                <c:pt idx="17">
                  <c:v>35000</c:v>
                </c:pt>
                <c:pt idx="18">
                  <c:v>34475</c:v>
                </c:pt>
                <c:pt idx="19">
                  <c:v>33957.875</c:v>
                </c:pt>
                <c:pt idx="20">
                  <c:v>33448.506874999999</c:v>
                </c:pt>
                <c:pt idx="21">
                  <c:v>32946.779271874999</c:v>
                </c:pt>
                <c:pt idx="22">
                  <c:v>32452.577582796872</c:v>
                </c:pt>
                <c:pt idx="23">
                  <c:v>31965.788919054918</c:v>
                </c:pt>
                <c:pt idx="24">
                  <c:v>31486.302085269093</c:v>
                </c:pt>
                <c:pt idx="25">
                  <c:v>31014.007553990057</c:v>
                </c:pt>
                <c:pt idx="26">
                  <c:v>35000</c:v>
                </c:pt>
                <c:pt idx="27">
                  <c:v>34475</c:v>
                </c:pt>
                <c:pt idx="28">
                  <c:v>33957.875</c:v>
                </c:pt>
                <c:pt idx="29">
                  <c:v>33448.506874999999</c:v>
                </c:pt>
              </c:numCache>
            </c:numRef>
          </c:val>
          <c:smooth val="0"/>
          <c:extLst>
            <c:ext xmlns:c16="http://schemas.microsoft.com/office/drawing/2014/chart" uri="{C3380CC4-5D6E-409C-BE32-E72D297353CC}">
              <c16:uniqueId val="{00000001-4299-4C12-8DFB-0A24D53E6D97}"/>
            </c:ext>
          </c:extLst>
        </c:ser>
        <c:dLbls>
          <c:showLegendKey val="0"/>
          <c:showVal val="0"/>
          <c:showCatName val="0"/>
          <c:showSerName val="0"/>
          <c:showPercent val="0"/>
          <c:showBubbleSize val="0"/>
        </c:dLbls>
        <c:marker val="1"/>
        <c:smooth val="0"/>
        <c:axId val="198867471"/>
        <c:axId val="1906824143"/>
      </c:lineChart>
      <c:catAx>
        <c:axId val="155603543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6823727"/>
        <c:crosses val="autoZero"/>
        <c:auto val="1"/>
        <c:lblAlgn val="ctr"/>
        <c:lblOffset val="100"/>
        <c:tickMarkSkip val="10"/>
        <c:noMultiLvlLbl val="0"/>
      </c:catAx>
      <c:valAx>
        <c:axId val="1906823727"/>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6035439"/>
        <c:crosses val="autoZero"/>
        <c:crossBetween val="between"/>
      </c:valAx>
      <c:valAx>
        <c:axId val="1906824143"/>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867471"/>
        <c:crosses val="max"/>
        <c:crossBetween val="between"/>
      </c:valAx>
      <c:catAx>
        <c:axId val="198867471"/>
        <c:scaling>
          <c:orientation val="minMax"/>
        </c:scaling>
        <c:delete val="1"/>
        <c:axPos val="b"/>
        <c:majorTickMark val="out"/>
        <c:minorTickMark val="none"/>
        <c:tickLblPos val="nextTo"/>
        <c:crossAx val="1906824143"/>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Costs and MWh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1556035439"/>
        <c:axId val="1906823727"/>
        <c:extLst>
          <c:ext xmlns:c15="http://schemas.microsoft.com/office/drawing/2012/chart" uri="{02D57815-91ED-43cb-92C2-25804820EDAC}">
            <c15:filteredBarSeries>
              <c15:ser>
                <c:idx val="0"/>
                <c:order val="0"/>
                <c:tx>
                  <c:strRef>
                    <c:extLst>
                      <c:ext uri="{02D57815-91ED-43cb-92C2-25804820EDAC}">
                        <c15:formulaRef>
                          <c15:sqref>Calculations!$A$51</c15:sqref>
                        </c15:formulaRef>
                      </c:ext>
                    </c:extLst>
                    <c:strCache>
                      <c:ptCount val="1"/>
                      <c:pt idx="0">
                        <c:v>Year</c:v>
                      </c:pt>
                    </c:strCache>
                  </c:strRef>
                </c:tx>
                <c:spPr>
                  <a:solidFill>
                    <a:schemeClr val="accent1"/>
                  </a:solidFill>
                  <a:ln>
                    <a:noFill/>
                  </a:ln>
                  <a:effectLst/>
                </c:spPr>
                <c:invertIfNegative val="0"/>
                <c:val>
                  <c:numRef>
                    <c:extLst>
                      <c:ext uri="{02D57815-91ED-43cb-92C2-25804820EDAC}">
                        <c15:formulaRef>
                          <c15:sqref>Calculations!$A$52:$A$81</c15:sqref>
                        </c15:formulaRef>
                      </c:ext>
                    </c:extLst>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val>
                <c:extLst>
                  <c:ext xmlns:c16="http://schemas.microsoft.com/office/drawing/2014/chart" uri="{C3380CC4-5D6E-409C-BE32-E72D297353CC}">
                    <c16:uniqueId val="{00000000-8253-47AC-9433-18B37B7C554C}"/>
                  </c:ext>
                </c:extLst>
              </c15:ser>
            </c15:filteredBarSeries>
          </c:ext>
        </c:extLst>
      </c:barChart>
      <c:lineChart>
        <c:grouping val="stacked"/>
        <c:varyColors val="0"/>
        <c:ser>
          <c:idx val="1"/>
          <c:order val="1"/>
          <c:tx>
            <c:strRef>
              <c:f>Calculations!$B$51</c:f>
              <c:strCache>
                <c:ptCount val="1"/>
                <c:pt idx="0">
                  <c:v>Cost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Calculations!$B$52:$B$81</c:f>
              <c:numCache>
                <c:formatCode>"$"#,##0.00</c:formatCode>
                <c:ptCount val="30"/>
                <c:pt idx="0">
                  <c:v>17020750</c:v>
                </c:pt>
                <c:pt idx="1">
                  <c:v>8948826.8371019978</c:v>
                </c:pt>
                <c:pt idx="2">
                  <c:v>8169112.025429111</c:v>
                </c:pt>
                <c:pt idx="3">
                  <c:v>7469337.4036357868</c:v>
                </c:pt>
                <c:pt idx="4">
                  <c:v>6816932.0516399052</c:v>
                </c:pt>
                <c:pt idx="5">
                  <c:v>6207926.1128136544</c:v>
                </c:pt>
                <c:pt idx="6">
                  <c:v>5647572.8620412285</c:v>
                </c:pt>
                <c:pt idx="7">
                  <c:v>5152128.1928690886</c:v>
                </c:pt>
                <c:pt idx="8">
                  <c:v>7414373.4768633181</c:v>
                </c:pt>
                <c:pt idx="9">
                  <c:v>4824940.3141045002</c:v>
                </c:pt>
                <c:pt idx="10">
                  <c:v>4406012.0787568735</c:v>
                </c:pt>
                <c:pt idx="11">
                  <c:v>4007084.2720166808</c:v>
                </c:pt>
                <c:pt idx="12">
                  <c:v>3664468.1873942902</c:v>
                </c:pt>
                <c:pt idx="13">
                  <c:v>3344550.0454233899</c:v>
                </c:pt>
                <c:pt idx="14">
                  <c:v>3060300.8400148586</c:v>
                </c:pt>
                <c:pt idx="15">
                  <c:v>2796426.8695529704</c:v>
                </c:pt>
                <c:pt idx="16">
                  <c:v>2553333.6781625566</c:v>
                </c:pt>
                <c:pt idx="17">
                  <c:v>3757759.3356684148</c:v>
                </c:pt>
                <c:pt idx="18">
                  <c:v>2433957.3735223045</c:v>
                </c:pt>
                <c:pt idx="19">
                  <c:v>2227795.9822053155</c:v>
                </c:pt>
                <c:pt idx="20">
                  <c:v>2037604.5813421344</c:v>
                </c:pt>
                <c:pt idx="21">
                  <c:v>1856207.8839602647</c:v>
                </c:pt>
                <c:pt idx="22">
                  <c:v>1700455.0978311726</c:v>
                </c:pt>
                <c:pt idx="23">
                  <c:v>1551249.8219228499</c:v>
                </c:pt>
                <c:pt idx="24">
                  <c:v>1420983.1642585909</c:v>
                </c:pt>
                <c:pt idx="25">
                  <c:v>1297697.5289334708</c:v>
                </c:pt>
                <c:pt idx="26">
                  <c:v>1909102.501481314</c:v>
                </c:pt>
                <c:pt idx="27">
                  <c:v>1237023.0268257381</c:v>
                </c:pt>
                <c:pt idx="28">
                  <c:v>1131320.2509147692</c:v>
                </c:pt>
                <c:pt idx="29">
                  <c:v>1058468.865617068</c:v>
                </c:pt>
              </c:numCache>
            </c:numRef>
          </c:val>
          <c:smooth val="0"/>
          <c:extLst>
            <c:ext xmlns:c16="http://schemas.microsoft.com/office/drawing/2014/chart" uri="{C3380CC4-5D6E-409C-BE32-E72D297353CC}">
              <c16:uniqueId val="{00000001-8253-47AC-9433-18B37B7C554C}"/>
            </c:ext>
          </c:extLst>
        </c:ser>
        <c:dLbls>
          <c:showLegendKey val="0"/>
          <c:showVal val="0"/>
          <c:showCatName val="0"/>
          <c:showSerName val="0"/>
          <c:showPercent val="0"/>
          <c:showBubbleSize val="0"/>
        </c:dLbls>
        <c:marker val="1"/>
        <c:smooth val="0"/>
        <c:axId val="1556035439"/>
        <c:axId val="1906823727"/>
      </c:lineChart>
      <c:lineChart>
        <c:grouping val="stacked"/>
        <c:varyColors val="0"/>
        <c:ser>
          <c:idx val="2"/>
          <c:order val="2"/>
          <c:tx>
            <c:strRef>
              <c:f>Calculations!$C$51</c:f>
              <c:strCache>
                <c:ptCount val="1"/>
                <c:pt idx="0">
                  <c:v>MWh</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Calculations!$C$52:$C$81</c:f>
              <c:numCache>
                <c:formatCode>#,##0.0</c:formatCode>
                <c:ptCount val="30"/>
                <c:pt idx="0">
                  <c:v>35000</c:v>
                </c:pt>
                <c:pt idx="1">
                  <c:v>34475</c:v>
                </c:pt>
                <c:pt idx="2">
                  <c:v>33957.875</c:v>
                </c:pt>
                <c:pt idx="3">
                  <c:v>33448.506874999999</c:v>
                </c:pt>
                <c:pt idx="4">
                  <c:v>32946.779271874999</c:v>
                </c:pt>
                <c:pt idx="5">
                  <c:v>32452.577582796872</c:v>
                </c:pt>
                <c:pt idx="6">
                  <c:v>31965.788919054918</c:v>
                </c:pt>
                <c:pt idx="7">
                  <c:v>31486.302085269093</c:v>
                </c:pt>
                <c:pt idx="8">
                  <c:v>35000</c:v>
                </c:pt>
                <c:pt idx="9">
                  <c:v>34475</c:v>
                </c:pt>
                <c:pt idx="10">
                  <c:v>33957.875</c:v>
                </c:pt>
                <c:pt idx="11">
                  <c:v>33448.506874999999</c:v>
                </c:pt>
                <c:pt idx="12">
                  <c:v>32946.779271874999</c:v>
                </c:pt>
                <c:pt idx="13">
                  <c:v>32452.577582796872</c:v>
                </c:pt>
                <c:pt idx="14">
                  <c:v>31965.788919054918</c:v>
                </c:pt>
                <c:pt idx="15">
                  <c:v>31486.302085269093</c:v>
                </c:pt>
                <c:pt idx="16">
                  <c:v>31014.007553990057</c:v>
                </c:pt>
                <c:pt idx="17">
                  <c:v>35000</c:v>
                </c:pt>
                <c:pt idx="18">
                  <c:v>34475</c:v>
                </c:pt>
                <c:pt idx="19">
                  <c:v>33957.875</c:v>
                </c:pt>
                <c:pt idx="20">
                  <c:v>33448.506874999999</c:v>
                </c:pt>
                <c:pt idx="21">
                  <c:v>32946.779271874999</c:v>
                </c:pt>
                <c:pt idx="22">
                  <c:v>32452.577582796872</c:v>
                </c:pt>
                <c:pt idx="23">
                  <c:v>31965.788919054918</c:v>
                </c:pt>
                <c:pt idx="24">
                  <c:v>31486.302085269093</c:v>
                </c:pt>
                <c:pt idx="25">
                  <c:v>31014.007553990057</c:v>
                </c:pt>
                <c:pt idx="26">
                  <c:v>35000</c:v>
                </c:pt>
                <c:pt idx="27">
                  <c:v>34475</c:v>
                </c:pt>
                <c:pt idx="28">
                  <c:v>33957.875</c:v>
                </c:pt>
                <c:pt idx="29">
                  <c:v>33448.506874999999</c:v>
                </c:pt>
              </c:numCache>
            </c:numRef>
          </c:val>
          <c:smooth val="0"/>
          <c:extLst>
            <c:ext xmlns:c16="http://schemas.microsoft.com/office/drawing/2014/chart" uri="{C3380CC4-5D6E-409C-BE32-E72D297353CC}">
              <c16:uniqueId val="{00000002-8253-47AC-9433-18B37B7C554C}"/>
            </c:ext>
          </c:extLst>
        </c:ser>
        <c:dLbls>
          <c:showLegendKey val="0"/>
          <c:showVal val="0"/>
          <c:showCatName val="0"/>
          <c:showSerName val="0"/>
          <c:showPercent val="0"/>
          <c:showBubbleSize val="0"/>
        </c:dLbls>
        <c:marker val="1"/>
        <c:smooth val="0"/>
        <c:axId val="198867471"/>
        <c:axId val="1906824143"/>
      </c:lineChart>
      <c:catAx>
        <c:axId val="1556035439"/>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6823727"/>
        <c:crosses val="autoZero"/>
        <c:auto val="1"/>
        <c:lblAlgn val="ctr"/>
        <c:lblOffset val="100"/>
        <c:tickMarkSkip val="5"/>
        <c:noMultiLvlLbl val="0"/>
      </c:catAx>
      <c:valAx>
        <c:axId val="1906823727"/>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56035439"/>
        <c:crosses val="autoZero"/>
        <c:crossBetween val="between"/>
      </c:valAx>
      <c:valAx>
        <c:axId val="1906824143"/>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867471"/>
        <c:crosses val="max"/>
        <c:crossBetween val="between"/>
      </c:valAx>
      <c:catAx>
        <c:axId val="198867471"/>
        <c:scaling>
          <c:orientation val="minMax"/>
        </c:scaling>
        <c:delete val="1"/>
        <c:axPos val="b"/>
        <c:majorTickMark val="out"/>
        <c:minorTickMark val="none"/>
        <c:tickLblPos val="nextTo"/>
        <c:crossAx val="1906824143"/>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520700</xdr:colOff>
      <xdr:row>0</xdr:row>
      <xdr:rowOff>12700</xdr:rowOff>
    </xdr:from>
    <xdr:to>
      <xdr:col>14</xdr:col>
      <xdr:colOff>31750</xdr:colOff>
      <xdr:row>13</xdr:row>
      <xdr:rowOff>114300</xdr:rowOff>
    </xdr:to>
    <xdr:graphicFrame macro="">
      <xdr:nvGraphicFramePr>
        <xdr:cNvPr id="2" name="Chart 1">
          <a:extLst>
            <a:ext uri="{FF2B5EF4-FFF2-40B4-BE49-F238E27FC236}">
              <a16:creationId xmlns:a16="http://schemas.microsoft.com/office/drawing/2014/main" id="{1E9CE09C-0B6C-498F-AF7E-077ECBC2B4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98425</xdr:colOff>
      <xdr:row>70</xdr:row>
      <xdr:rowOff>15875</xdr:rowOff>
    </xdr:from>
    <xdr:to>
      <xdr:col>11</xdr:col>
      <xdr:colOff>488950</xdr:colOff>
      <xdr:row>84</xdr:row>
      <xdr:rowOff>180975</xdr:rowOff>
    </xdr:to>
    <xdr:graphicFrame macro="">
      <xdr:nvGraphicFramePr>
        <xdr:cNvPr id="3" name="Chart 2">
          <a:extLst>
            <a:ext uri="{FF2B5EF4-FFF2-40B4-BE49-F238E27FC236}">
              <a16:creationId xmlns:a16="http://schemas.microsoft.com/office/drawing/2014/main" id="{50A937B4-C4F5-4BCE-A30C-B76F9AD940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670DA-CB80-446D-B02B-8AD748884965}">
  <sheetPr>
    <tabColor theme="9" tint="0.79998168889431442"/>
  </sheetPr>
  <dimension ref="B1:AY20"/>
  <sheetViews>
    <sheetView showGridLines="0" tabSelected="1" topLeftCell="A19" zoomScale="90" zoomScaleNormal="90" workbookViewId="0">
      <selection activeCell="B22" sqref="B22"/>
    </sheetView>
  </sheetViews>
  <sheetFormatPr defaultColWidth="8.81640625" defaultRowHeight="14.5"/>
  <cols>
    <col min="1" max="1" width="3.36328125" customWidth="1"/>
    <col min="2" max="2" width="57.36328125" customWidth="1"/>
    <col min="3" max="3" width="61.453125" customWidth="1"/>
    <col min="4" max="4" width="45.453125" customWidth="1"/>
  </cols>
  <sheetData>
    <row r="1" spans="2:51" ht="18.5">
      <c r="B1" s="241" t="s">
        <v>86</v>
      </c>
      <c r="C1" s="241"/>
      <c r="D1" s="241"/>
      <c r="E1" s="241"/>
    </row>
    <row r="2" spans="2:51">
      <c r="B2" s="242"/>
      <c r="C2" s="242"/>
      <c r="D2" s="242"/>
    </row>
    <row r="3" spans="2:51" ht="44.25" customHeight="1">
      <c r="B3" s="243" t="s">
        <v>84</v>
      </c>
      <c r="C3" s="243"/>
      <c r="D3" s="243"/>
    </row>
    <row r="5" spans="2:51" ht="15.5">
      <c r="B5" s="100" t="s">
        <v>85</v>
      </c>
    </row>
    <row r="6" spans="2:51" ht="31.5" customHeight="1">
      <c r="B6" s="240" t="s">
        <v>133</v>
      </c>
      <c r="C6" s="240"/>
      <c r="D6" s="240"/>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row>
    <row r="7" spans="2:51">
      <c r="B7" t="s">
        <v>126</v>
      </c>
    </row>
    <row r="8" spans="2:51" ht="30.75" customHeight="1">
      <c r="B8" s="240" t="s">
        <v>112</v>
      </c>
      <c r="C8" s="240"/>
      <c r="D8" s="240"/>
    </row>
    <row r="9" spans="2:51" ht="29.5" customHeight="1">
      <c r="B9" s="240" t="s">
        <v>113</v>
      </c>
      <c r="C9" s="240"/>
      <c r="D9" s="240"/>
    </row>
    <row r="11" spans="2:51" ht="15.5">
      <c r="B11" s="99" t="s">
        <v>116</v>
      </c>
    </row>
    <row r="12" spans="2:51" ht="46.5" customHeight="1">
      <c r="B12" s="240" t="s">
        <v>114</v>
      </c>
      <c r="C12" s="240"/>
      <c r="D12" s="240"/>
    </row>
    <row r="13" spans="2:51" ht="27.75" customHeight="1">
      <c r="B13" s="240" t="s">
        <v>134</v>
      </c>
      <c r="C13" s="240"/>
      <c r="D13" s="240"/>
    </row>
    <row r="14" spans="2:51" ht="28.5" customHeight="1">
      <c r="B14" s="240" t="s">
        <v>115</v>
      </c>
      <c r="C14" s="240"/>
      <c r="D14" s="240"/>
    </row>
    <row r="15" spans="2:51" ht="45" customHeight="1">
      <c r="B15" s="240" t="s">
        <v>137</v>
      </c>
      <c r="C15" s="240"/>
      <c r="D15" s="240"/>
    </row>
    <row r="16" spans="2:51" ht="58" customHeight="1">
      <c r="B16" s="240" t="s">
        <v>139</v>
      </c>
      <c r="C16" s="240"/>
      <c r="D16" s="240"/>
    </row>
    <row r="17" spans="2:4" ht="85.5" customHeight="1">
      <c r="B17" s="240" t="s">
        <v>135</v>
      </c>
      <c r="C17" s="240"/>
      <c r="D17" s="240"/>
    </row>
    <row r="19" spans="2:4" ht="15.5">
      <c r="B19" s="99" t="s">
        <v>123</v>
      </c>
    </row>
    <row r="20" spans="2:4" ht="57" customHeight="1">
      <c r="B20" s="240" t="s">
        <v>138</v>
      </c>
      <c r="C20" s="240"/>
      <c r="D20" s="240"/>
    </row>
  </sheetData>
  <mergeCells count="13">
    <mergeCell ref="B20:D20"/>
    <mergeCell ref="B1:E1"/>
    <mergeCell ref="B2:D2"/>
    <mergeCell ref="B3:D3"/>
    <mergeCell ref="B6:D6"/>
    <mergeCell ref="B16:D16"/>
    <mergeCell ref="B17:D17"/>
    <mergeCell ref="B8:D8"/>
    <mergeCell ref="B9:D9"/>
    <mergeCell ref="B12:D12"/>
    <mergeCell ref="B13:D13"/>
    <mergeCell ref="B14:D14"/>
    <mergeCell ref="B15:D1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D90F8-7765-4CA9-BE87-80B0D3CBBF59}">
  <sheetPr>
    <tabColor theme="4" tint="0.79998168889431442"/>
  </sheetPr>
  <dimension ref="A1:S57"/>
  <sheetViews>
    <sheetView showGridLines="0" zoomScale="120" zoomScaleNormal="120" workbookViewId="0">
      <selection activeCell="B6" sqref="B6"/>
    </sheetView>
  </sheetViews>
  <sheetFormatPr defaultColWidth="8.81640625" defaultRowHeight="14.5"/>
  <cols>
    <col min="1" max="1" width="40.453125" customWidth="1"/>
    <col min="2" max="2" width="16" customWidth="1"/>
    <col min="3" max="3" width="3.1796875" customWidth="1"/>
    <col min="4" max="4" width="1.453125" customWidth="1"/>
    <col min="5" max="5" width="10" customWidth="1"/>
  </cols>
  <sheetData>
    <row r="1" spans="1:5" ht="15" thickBot="1">
      <c r="A1" s="244" t="s">
        <v>5</v>
      </c>
      <c r="B1" s="244"/>
      <c r="D1" s="147" t="s">
        <v>142</v>
      </c>
    </row>
    <row r="2" spans="1:5">
      <c r="A2" s="16" t="s">
        <v>1</v>
      </c>
      <c r="B2" s="177" t="s">
        <v>14</v>
      </c>
      <c r="E2" s="147" t="s">
        <v>54</v>
      </c>
    </row>
    <row r="3" spans="1:5">
      <c r="A3" s="20"/>
      <c r="B3" s="23"/>
      <c r="E3" s="147"/>
    </row>
    <row r="4" spans="1:5">
      <c r="A4" s="17" t="s">
        <v>13</v>
      </c>
      <c r="B4" s="178" t="s">
        <v>34</v>
      </c>
      <c r="E4" s="147" t="s">
        <v>54</v>
      </c>
    </row>
    <row r="5" spans="1:5">
      <c r="A5" s="17"/>
      <c r="B5" s="23"/>
      <c r="E5" s="172"/>
    </row>
    <row r="6" spans="1:5">
      <c r="A6" s="17" t="s">
        <v>2</v>
      </c>
      <c r="B6" s="176">
        <v>1</v>
      </c>
      <c r="E6" s="173">
        <v>0.8</v>
      </c>
    </row>
    <row r="7" spans="1:5">
      <c r="A7" s="17"/>
      <c r="B7" s="24"/>
      <c r="E7" s="172"/>
    </row>
    <row r="8" spans="1:5">
      <c r="A8" s="17" t="s">
        <v>3</v>
      </c>
      <c r="B8" s="176">
        <v>0.95</v>
      </c>
      <c r="E8" s="173">
        <v>0.9</v>
      </c>
    </row>
    <row r="9" spans="1:5" ht="15.75" customHeight="1">
      <c r="A9" s="17"/>
      <c r="B9" s="24"/>
      <c r="E9" s="172"/>
    </row>
    <row r="10" spans="1:5">
      <c r="A10" s="17" t="s">
        <v>4</v>
      </c>
      <c r="B10" s="179">
        <v>1.4999999999999999E-2</v>
      </c>
      <c r="E10" s="174">
        <v>1.4999999999999999E-2</v>
      </c>
    </row>
    <row r="11" spans="1:5">
      <c r="A11" s="17"/>
      <c r="B11" s="25"/>
      <c r="E11" s="172"/>
    </row>
    <row r="12" spans="1:5" ht="15" thickBot="1">
      <c r="A12" s="18" t="s">
        <v>12</v>
      </c>
      <c r="B12" s="180">
        <v>10</v>
      </c>
      <c r="E12" s="175" t="s">
        <v>147</v>
      </c>
    </row>
    <row r="13" spans="1:5">
      <c r="A13" s="14"/>
      <c r="B13" s="15"/>
      <c r="E13" s="172"/>
    </row>
    <row r="14" spans="1:5" ht="15" thickBot="1">
      <c r="A14" s="19" t="s">
        <v>29</v>
      </c>
      <c r="B14" s="13"/>
      <c r="E14" s="172"/>
    </row>
    <row r="15" spans="1:5">
      <c r="A15" s="16" t="s">
        <v>30</v>
      </c>
      <c r="B15" s="177">
        <v>25</v>
      </c>
      <c r="E15" s="172" t="s">
        <v>54</v>
      </c>
    </row>
    <row r="16" spans="1:5">
      <c r="A16" s="17"/>
      <c r="B16" s="23"/>
      <c r="E16" s="172"/>
    </row>
    <row r="17" spans="1:5" ht="15" thickBot="1">
      <c r="A17" s="18" t="s">
        <v>31</v>
      </c>
      <c r="B17" s="181">
        <v>4</v>
      </c>
      <c r="E17" s="172" t="s">
        <v>124</v>
      </c>
    </row>
    <row r="18" spans="1:5">
      <c r="A18" s="3"/>
      <c r="E18" s="172"/>
    </row>
    <row r="19" spans="1:5" ht="15" thickBot="1">
      <c r="A19" s="22" t="s">
        <v>6</v>
      </c>
      <c r="E19" s="172"/>
    </row>
    <row r="20" spans="1:5">
      <c r="A20" s="16" t="s">
        <v>7</v>
      </c>
      <c r="B20" s="208">
        <v>4.7500000000000001E-2</v>
      </c>
      <c r="E20" s="174" t="s">
        <v>141</v>
      </c>
    </row>
    <row r="21" spans="1:5">
      <c r="A21" s="17"/>
      <c r="B21" s="26"/>
      <c r="E21" s="172"/>
    </row>
    <row r="22" spans="1:5">
      <c r="A22" s="17" t="s">
        <v>8</v>
      </c>
      <c r="B22" s="176">
        <v>0.55000000000000004</v>
      </c>
      <c r="E22" s="173" t="s">
        <v>143</v>
      </c>
    </row>
    <row r="23" spans="1:5">
      <c r="A23" s="17"/>
      <c r="B23" s="24"/>
      <c r="E23" s="172"/>
    </row>
    <row r="24" spans="1:5">
      <c r="A24" s="17" t="s">
        <v>11</v>
      </c>
      <c r="B24" s="182">
        <f>1-B22</f>
        <v>0.44999999999999996</v>
      </c>
      <c r="E24" s="172" t="s">
        <v>54</v>
      </c>
    </row>
    <row r="25" spans="1:5">
      <c r="A25" s="17"/>
      <c r="B25" s="27"/>
      <c r="E25" s="172"/>
    </row>
    <row r="26" spans="1:5">
      <c r="A26" s="17" t="s">
        <v>9</v>
      </c>
      <c r="B26" s="179">
        <v>0.115</v>
      </c>
      <c r="E26" s="207" t="s">
        <v>144</v>
      </c>
    </row>
    <row r="27" spans="1:5">
      <c r="A27" s="17"/>
      <c r="B27" s="24"/>
      <c r="E27" s="172"/>
    </row>
    <row r="28" spans="1:5">
      <c r="A28" s="17" t="s">
        <v>35</v>
      </c>
      <c r="B28" s="183">
        <f>SUMIFS(Capex!$B$3:$B$8, Capex!$A$3:$A$8, Inputs!B2)</f>
        <v>288</v>
      </c>
      <c r="E28" s="172" t="s">
        <v>54</v>
      </c>
    </row>
    <row r="29" spans="1:5">
      <c r="A29" s="17"/>
      <c r="B29" s="28"/>
      <c r="E29" s="172"/>
    </row>
    <row r="30" spans="1:5" ht="13.5" customHeight="1">
      <c r="A30" s="17" t="s">
        <v>36</v>
      </c>
      <c r="B30" s="183">
        <f>SUMIFS(Capex!$C$3:$C$8, Capex!$A$3:$A$8, Inputs!B2)</f>
        <v>271</v>
      </c>
      <c r="E30" s="172" t="s">
        <v>54</v>
      </c>
    </row>
    <row r="31" spans="1:5" ht="13.5" customHeight="1">
      <c r="A31" s="17"/>
      <c r="B31" s="28"/>
      <c r="E31" s="172"/>
    </row>
    <row r="32" spans="1:5">
      <c r="A32" s="17" t="s">
        <v>10</v>
      </c>
      <c r="B32" s="183">
        <f>Calculations!B18*0.54</f>
        <v>3888000.0000000005</v>
      </c>
      <c r="E32" s="172" t="s">
        <v>54</v>
      </c>
    </row>
    <row r="33" spans="1:5">
      <c r="A33" s="17"/>
      <c r="B33" s="28"/>
      <c r="E33" s="172"/>
    </row>
    <row r="34" spans="1:5">
      <c r="A34" s="17" t="s">
        <v>18</v>
      </c>
      <c r="B34" s="184">
        <f>B20*B22+B24*B26</f>
        <v>7.7875E-2</v>
      </c>
      <c r="E34" s="172" t="s">
        <v>54</v>
      </c>
    </row>
    <row r="35" spans="1:5">
      <c r="A35" s="17"/>
      <c r="B35" s="29"/>
      <c r="E35" s="172"/>
    </row>
    <row r="36" spans="1:5">
      <c r="A36" s="17" t="s">
        <v>19</v>
      </c>
      <c r="B36" s="212">
        <v>2.1399999999999999E-2</v>
      </c>
      <c r="E36" s="174" t="s">
        <v>145</v>
      </c>
    </row>
    <row r="37" spans="1:5">
      <c r="A37" s="17"/>
      <c r="B37" s="30"/>
      <c r="E37" s="172"/>
    </row>
    <row r="38" spans="1:5" ht="15" thickBot="1">
      <c r="A38" s="18" t="s">
        <v>20</v>
      </c>
      <c r="B38" s="185">
        <f>B34+(B36*B34)+B36</f>
        <v>0.100941525</v>
      </c>
      <c r="E38" s="172" t="s">
        <v>54</v>
      </c>
    </row>
    <row r="39" spans="1:5">
      <c r="A39" s="3"/>
      <c r="B39" s="2"/>
      <c r="E39" s="172"/>
    </row>
    <row r="40" spans="1:5" ht="15" thickBot="1">
      <c r="A40" s="22" t="s">
        <v>16</v>
      </c>
      <c r="B40" s="2"/>
      <c r="E40" s="172"/>
    </row>
    <row r="41" spans="1:5">
      <c r="A41" s="16" t="s">
        <v>17</v>
      </c>
      <c r="B41" s="177">
        <v>30</v>
      </c>
      <c r="E41" s="172" t="s">
        <v>146</v>
      </c>
    </row>
    <row r="42" spans="1:5">
      <c r="A42" s="17"/>
      <c r="B42" s="23"/>
      <c r="E42" s="172"/>
    </row>
    <row r="43" spans="1:5">
      <c r="A43" s="20" t="s">
        <v>21</v>
      </c>
      <c r="B43" s="178" t="s">
        <v>140</v>
      </c>
      <c r="E43" s="172" t="s">
        <v>54</v>
      </c>
    </row>
    <row r="44" spans="1:5">
      <c r="A44" s="20"/>
      <c r="B44" s="23"/>
      <c r="E44" s="172"/>
    </row>
    <row r="45" spans="1:5">
      <c r="A45" s="20" t="s">
        <v>41</v>
      </c>
      <c r="B45" s="186" t="s">
        <v>0</v>
      </c>
      <c r="E45" s="172" t="s">
        <v>54</v>
      </c>
    </row>
    <row r="46" spans="1:5">
      <c r="A46" s="20"/>
      <c r="B46" s="31"/>
      <c r="E46" s="172"/>
    </row>
    <row r="47" spans="1:5" ht="15" thickBot="1">
      <c r="A47" s="21" t="s">
        <v>43</v>
      </c>
      <c r="B47" s="187" t="s">
        <v>125</v>
      </c>
      <c r="E47" s="172" t="s">
        <v>125</v>
      </c>
    </row>
    <row r="57" spans="2:19">
      <c r="B57" s="245"/>
      <c r="C57" s="245"/>
      <c r="D57" s="245"/>
      <c r="E57" s="245"/>
      <c r="F57" s="245"/>
      <c r="G57" s="245"/>
      <c r="H57" s="245"/>
      <c r="I57" s="245"/>
      <c r="J57" s="245"/>
      <c r="K57" s="245"/>
      <c r="L57" s="245"/>
      <c r="M57" s="245"/>
      <c r="N57" s="245"/>
      <c r="O57" s="245"/>
      <c r="P57" s="245"/>
      <c r="Q57" s="245"/>
      <c r="R57" s="245"/>
      <c r="S57" s="245"/>
    </row>
  </sheetData>
  <mergeCells count="7">
    <mergeCell ref="A1:B1"/>
    <mergeCell ref="Q57:S57"/>
    <mergeCell ref="B57:D57"/>
    <mergeCell ref="E57:G57"/>
    <mergeCell ref="H57:J57"/>
    <mergeCell ref="K57:M57"/>
    <mergeCell ref="N57:P57"/>
  </mergeCells>
  <dataValidations count="14">
    <dataValidation type="list" allowBlank="1" showInputMessage="1" showErrorMessage="1" sqref="B2" xr:uid="{DD62D5B7-93BE-4790-81AC-F0B134E1BB3A}">
      <formula1>"Lithium Ion, Redox Flow, Lead Acid, Sodium Sulfur, Sodium Metal Halide, Zinc-Hybrid Cathode"</formula1>
    </dataValidation>
    <dataValidation type="list" allowBlank="1" showInputMessage="1" showErrorMessage="1" sqref="B4" xr:uid="{A6B66C3F-6F47-4F44-8FDC-BE3B8A747D6E}">
      <formula1>"350 Days, Summer Only, Winter Only"</formula1>
    </dataValidation>
    <dataValidation type="list" allowBlank="1" showInputMessage="1" showErrorMessage="1" sqref="B6" xr:uid="{97795B68-B6A1-43C5-BF92-1892C430EF21}">
      <formula1>"100%, 90%, 80%"</formula1>
    </dataValidation>
    <dataValidation type="list" allowBlank="1" showInputMessage="1" showErrorMessage="1" sqref="B18" xr:uid="{D37E8A25-C461-4939-A8AA-70F5C2D68571}">
      <formula1>"0.005,0.01,0.015,0.02"</formula1>
    </dataValidation>
    <dataValidation type="list" allowBlank="1" showInputMessage="1" showErrorMessage="1" sqref="B13:B14" xr:uid="{023B23DF-07E4-4105-AA98-272AF625B952}">
      <formula1>"10,20,30,40"</formula1>
    </dataValidation>
    <dataValidation type="whole" allowBlank="1" showInputMessage="1" showErrorMessage="1" sqref="B41" xr:uid="{A38C21D9-421E-4FD5-83BD-32B3A6B10445}">
      <formula1>0</formula1>
      <formula2>30</formula2>
    </dataValidation>
    <dataValidation type="list" allowBlank="1" showInputMessage="1" showErrorMessage="1" sqref="B43" xr:uid="{5ABC2F8C-B27F-4C3A-AF9D-2862E872913A}">
      <formula1>"$/MWh,$/kW-year,$/MW-year"</formula1>
    </dataValidation>
    <dataValidation type="list" allowBlank="1" showInputMessage="1" showErrorMessage="1" sqref="B17" xr:uid="{B16362E3-4EBE-43E5-ACC2-A2F4467BE12D}">
      <formula1>"1,2,3,4,5,6,7,8"</formula1>
    </dataValidation>
    <dataValidation type="list" allowBlank="1" showInputMessage="1" showErrorMessage="1" sqref="B45" xr:uid="{53EBB97F-6D62-47D9-A890-CC92F18A1273}">
      <formula1>"SP15,NP15"</formula1>
    </dataValidation>
    <dataValidation type="list" allowBlank="1" showInputMessage="1" showErrorMessage="1" sqref="B47" xr:uid="{FE70DED8-7089-4022-BE0A-F36C0139646F}">
      <formula1>"Base/Base, High/Low, Low/High"</formula1>
    </dataValidation>
    <dataValidation type="list" allowBlank="1" showInputMessage="1" showErrorMessage="1" sqref="B10" xr:uid="{53686954-7AC5-49AF-816D-461F1D9A6636}">
      <formula1>".5%,1%,1.5%,2%"</formula1>
    </dataValidation>
    <dataValidation type="list" allowBlank="1" showInputMessage="1" showErrorMessage="1" sqref="B8" xr:uid="{5EA4883C-4637-4E8C-916E-0BFA33A2A5DF}">
      <formula1>"98%, 95%, 90%"</formula1>
    </dataValidation>
    <dataValidation type="whole" allowBlank="1" showInputMessage="1" showErrorMessage="1" sqref="B12" xr:uid="{F220255B-C856-4D96-91C3-CAE0F033BB82}">
      <formula1>0</formula1>
      <formula2>100</formula2>
    </dataValidation>
    <dataValidation type="decimal" allowBlank="1" showInputMessage="1" showErrorMessage="1" sqref="B20 B22 B26 B36" xr:uid="{C6382131-C4D4-4A79-AA8C-BD44003FDBCA}">
      <formula1>0</formula1>
      <formula2>1</formula2>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681EE-F346-4C0B-99AA-09CA5D671FBE}">
  <sheetPr>
    <tabColor theme="4" tint="0.79998168889431442"/>
  </sheetPr>
  <dimension ref="A1:F45"/>
  <sheetViews>
    <sheetView showGridLines="0" topLeftCell="A4" workbookViewId="0">
      <selection activeCell="I17" sqref="I17"/>
    </sheetView>
  </sheetViews>
  <sheetFormatPr defaultColWidth="8.81640625" defaultRowHeight="14.5"/>
  <cols>
    <col min="1" max="1" width="7.453125" customWidth="1"/>
    <col min="2" max="2" width="20.08984375" customWidth="1"/>
    <col min="3" max="3" width="17.453125" customWidth="1"/>
    <col min="4" max="4" width="15.453125" customWidth="1"/>
    <col min="5" max="5" width="17.36328125" customWidth="1"/>
    <col min="6" max="6" width="18.36328125" customWidth="1"/>
  </cols>
  <sheetData>
    <row r="1" spans="1:6" ht="19" thickBot="1">
      <c r="A1" s="46" t="s">
        <v>74</v>
      </c>
    </row>
    <row r="2" spans="1:6">
      <c r="A2" s="250" t="s">
        <v>46</v>
      </c>
      <c r="B2" s="251"/>
      <c r="C2" s="233"/>
      <c r="D2" s="32" t="str">
        <f>Inputs!B2</f>
        <v>Lithium Ion</v>
      </c>
    </row>
    <row r="3" spans="1:6">
      <c r="A3" s="246" t="s">
        <v>47</v>
      </c>
      <c r="B3" s="247"/>
      <c r="C3" s="229"/>
      <c r="D3" s="33" t="str">
        <f>Inputs!B4</f>
        <v>350 Days</v>
      </c>
    </row>
    <row r="4" spans="1:6">
      <c r="A4" s="246" t="s">
        <v>48</v>
      </c>
      <c r="B4" s="247"/>
      <c r="C4" s="229"/>
      <c r="D4" s="34">
        <f>IF($D$3="350 Days",Capex!$E$15,IF($D$3="Summer Only",Capex!$E$16,Capex!$E$17))</f>
        <v>35000</v>
      </c>
    </row>
    <row r="5" spans="1:6">
      <c r="A5" s="246" t="s">
        <v>37</v>
      </c>
      <c r="B5" s="247"/>
      <c r="C5" s="229"/>
      <c r="D5" s="33">
        <f>SUMIFS(Capex!D3:D8, Capex!A3:A8,Calculations!B2)</f>
        <v>3250</v>
      </c>
    </row>
    <row r="6" spans="1:6">
      <c r="A6" s="246" t="s">
        <v>57</v>
      </c>
      <c r="B6" s="247"/>
      <c r="C6" s="229"/>
      <c r="D6" s="33">
        <f>ROUND((D5/Capex!C15), 0)</f>
        <v>9</v>
      </c>
    </row>
    <row r="7" spans="1:6" ht="15.5" customHeight="1" thickBot="1">
      <c r="A7" s="246" t="s">
        <v>59</v>
      </c>
      <c r="B7" s="247"/>
      <c r="C7" s="229"/>
      <c r="D7" s="33">
        <f>Inputs!$B$41</f>
        <v>30</v>
      </c>
    </row>
    <row r="8" spans="1:6" ht="15.5" customHeight="1">
      <c r="A8" s="51" t="s">
        <v>129</v>
      </c>
      <c r="B8" s="191"/>
      <c r="C8" s="233"/>
      <c r="D8" s="213">
        <f>Calculations!B10</f>
        <v>401770396.94530541</v>
      </c>
    </row>
    <row r="9" spans="1:6" ht="15.5" customHeight="1" thickBot="1">
      <c r="A9" s="52" t="s">
        <v>62</v>
      </c>
      <c r="B9" s="209"/>
      <c r="C9" s="234"/>
      <c r="D9" s="211">
        <f>Calculations!B11</f>
        <v>996107.88618496759</v>
      </c>
    </row>
    <row r="10" spans="1:6" ht="14" customHeight="1">
      <c r="A10" s="235" t="s">
        <v>130</v>
      </c>
      <c r="B10" s="236"/>
      <c r="C10" s="230"/>
      <c r="D10" s="214">
        <f>Calculations!B12</f>
        <v>125123700.6623036</v>
      </c>
    </row>
    <row r="11" spans="1:6" ht="15" thickBot="1">
      <c r="A11" s="237" t="s">
        <v>131</v>
      </c>
      <c r="B11" s="238"/>
      <c r="C11" s="231"/>
      <c r="D11" s="210">
        <f>Calculations!B13</f>
        <v>344120.12357370573</v>
      </c>
    </row>
    <row r="12" spans="1:6" ht="15" thickBot="1">
      <c r="A12" s="248" t="s">
        <v>70</v>
      </c>
      <c r="B12" s="249"/>
      <c r="C12" s="232"/>
      <c r="D12" s="47">
        <f>Calculations!B14</f>
        <v>363.60471850029381</v>
      </c>
      <c r="E12" t="str">
        <f>Inputs!$B$43</f>
        <v>$/MWh</v>
      </c>
    </row>
    <row r="14" spans="1:6" ht="15" thickBot="1">
      <c r="A14" s="35" t="s">
        <v>76</v>
      </c>
      <c r="B14" s="35"/>
    </row>
    <row r="15" spans="1:6" ht="15" thickBot="1">
      <c r="A15" s="44" t="s">
        <v>45</v>
      </c>
      <c r="B15" s="45" t="s">
        <v>72</v>
      </c>
      <c r="C15" s="45" t="s">
        <v>132</v>
      </c>
      <c r="D15" s="45" t="s">
        <v>77</v>
      </c>
      <c r="E15" s="45" t="s">
        <v>78</v>
      </c>
      <c r="F15" s="239" t="s">
        <v>70</v>
      </c>
    </row>
    <row r="16" spans="1:6">
      <c r="A16" s="36">
        <v>1</v>
      </c>
      <c r="B16" s="37">
        <f>Calculations!S18</f>
        <v>35000</v>
      </c>
      <c r="C16" s="37">
        <f>Calculations!T18</f>
        <v>35000</v>
      </c>
      <c r="D16" s="38">
        <f>Calculations!G18</f>
        <v>17020750</v>
      </c>
      <c r="E16" s="38">
        <f>Calculations!H18</f>
        <v>17020750</v>
      </c>
      <c r="F16" s="58">
        <f>E16/C16</f>
        <v>486.30714285714288</v>
      </c>
    </row>
    <row r="17" spans="1:6">
      <c r="A17" s="36">
        <v>2</v>
      </c>
      <c r="B17" s="37">
        <f>Calculations!S19</f>
        <v>34475</v>
      </c>
      <c r="C17" s="37">
        <f>Calculations!T19</f>
        <v>31314.106350925402</v>
      </c>
      <c r="D17" s="38">
        <f>Calculations!G19</f>
        <v>9852135.0650000013</v>
      </c>
      <c r="E17" s="38">
        <f>Calculations!H19</f>
        <v>8948826.8371019978</v>
      </c>
      <c r="F17" s="58">
        <f t="shared" ref="F17:F45" si="0">E17/C17</f>
        <v>285.77621653372012</v>
      </c>
    </row>
    <row r="18" spans="1:6">
      <c r="A18" s="36">
        <v>3</v>
      </c>
      <c r="B18" s="37">
        <f>Calculations!S20</f>
        <v>33957.875</v>
      </c>
      <c r="C18" s="37">
        <f>Calculations!T20</f>
        <v>28016.378758773328</v>
      </c>
      <c r="D18" s="38">
        <f>Calculations!G20</f>
        <v>9901553.9234758876</v>
      </c>
      <c r="E18" s="38">
        <f>Calculations!H20</f>
        <v>8169112.025429111</v>
      </c>
      <c r="F18" s="58">
        <f t="shared" si="0"/>
        <v>291.58343752298657</v>
      </c>
    </row>
    <row r="19" spans="1:6">
      <c r="A19" s="36">
        <v>4</v>
      </c>
      <c r="B19" s="37">
        <f>Calculations!S21</f>
        <v>33448.506874999999</v>
      </c>
      <c r="C19" s="37">
        <f>Calculations!T21</f>
        <v>25065.938972001011</v>
      </c>
      <c r="D19" s="38">
        <f>Calculations!G21</f>
        <v>9967238.1623636298</v>
      </c>
      <c r="E19" s="38">
        <f>Calculations!H21</f>
        <v>7469337.4036357868</v>
      </c>
      <c r="F19" s="58">
        <f t="shared" si="0"/>
        <v>297.98753647246713</v>
      </c>
    </row>
    <row r="20" spans="1:6">
      <c r="A20" s="36">
        <v>5</v>
      </c>
      <c r="B20" s="37">
        <f>Calculations!S22</f>
        <v>32946.779271874999</v>
      </c>
      <c r="C20" s="37">
        <f>Calculations!T22</f>
        <v>22426.21367871558</v>
      </c>
      <c r="D20" s="38">
        <f>Calculations!G22</f>
        <v>10014885.206855536</v>
      </c>
      <c r="E20" s="38">
        <f>Calculations!H22</f>
        <v>6816932.0516399052</v>
      </c>
      <c r="F20" s="58">
        <f t="shared" si="0"/>
        <v>303.97159990095719</v>
      </c>
    </row>
    <row r="21" spans="1:6">
      <c r="A21" s="36">
        <v>6</v>
      </c>
      <c r="B21" s="37">
        <f>Calculations!S23</f>
        <v>32452.577582796872</v>
      </c>
      <c r="C21" s="37">
        <f>Calculations!T23</f>
        <v>20064.48114811079</v>
      </c>
      <c r="D21" s="38">
        <f>Calculations!G23</f>
        <v>10040788.112944793</v>
      </c>
      <c r="E21" s="38">
        <f>Calculations!H23</f>
        <v>6207926.1128136544</v>
      </c>
      <c r="F21" s="58">
        <f t="shared" si="0"/>
        <v>309.3987861927929</v>
      </c>
    </row>
    <row r="22" spans="1:6">
      <c r="A22" s="36">
        <v>7</v>
      </c>
      <c r="B22" s="37">
        <f>Calculations!S24</f>
        <v>31965.788919054918</v>
      </c>
      <c r="C22" s="37">
        <f>Calculations!T24</f>
        <v>17951.465615659403</v>
      </c>
      <c r="D22" s="38">
        <f>Calculations!G24</f>
        <v>10056511.589533605</v>
      </c>
      <c r="E22" s="38">
        <f>Calculations!H24</f>
        <v>5647572.8620412285</v>
      </c>
      <c r="F22" s="58">
        <f t="shared" si="0"/>
        <v>314.60232735062834</v>
      </c>
    </row>
    <row r="23" spans="1:6">
      <c r="A23" s="36">
        <v>8</v>
      </c>
      <c r="B23" s="37">
        <f>Calculations!S25</f>
        <v>31486.302085269093</v>
      </c>
      <c r="C23" s="37">
        <f>Calculations!T25</f>
        <v>16060.974384106828</v>
      </c>
      <c r="D23" s="38">
        <f>Calculations!G25</f>
        <v>10100350.127152575</v>
      </c>
      <c r="E23" s="38">
        <f>Calculations!H25</f>
        <v>5152128.1928690886</v>
      </c>
      <c r="F23" s="58">
        <f t="shared" si="0"/>
        <v>320.7855307936602</v>
      </c>
    </row>
    <row r="24" spans="1:6">
      <c r="A24" s="36">
        <v>9</v>
      </c>
      <c r="B24" s="37">
        <f>Calculations!S26</f>
        <v>35000</v>
      </c>
      <c r="C24" s="37">
        <f>Calculations!T26</f>
        <v>16216.384131843854</v>
      </c>
      <c r="D24" s="38">
        <f>Calculations!G26</f>
        <v>16002523.718011472</v>
      </c>
      <c r="E24" s="38">
        <f>Calculations!H26</f>
        <v>7414373.4768633181</v>
      </c>
      <c r="F24" s="58">
        <f t="shared" si="0"/>
        <v>457.21496337175631</v>
      </c>
    </row>
    <row r="25" spans="1:6">
      <c r="A25" s="36">
        <v>10</v>
      </c>
      <c r="B25" s="37">
        <f>Calculations!S27</f>
        <v>34475</v>
      </c>
      <c r="C25" s="37">
        <f>Calculations!T27</f>
        <v>14508.6164952005</v>
      </c>
      <c r="D25" s="38">
        <f>Calculations!G27</f>
        <v>11464898.626535371</v>
      </c>
      <c r="E25" s="38">
        <f>Calculations!H27</f>
        <v>4824940.3141045002</v>
      </c>
      <c r="F25" s="58">
        <f t="shared" si="0"/>
        <v>332.55688546875626</v>
      </c>
    </row>
    <row r="26" spans="1:6">
      <c r="A26" s="36">
        <v>11</v>
      </c>
      <c r="B26" s="37">
        <f>Calculations!S28</f>
        <v>33957.875</v>
      </c>
      <c r="C26" s="37">
        <f>Calculations!T28</f>
        <v>12980.695998157114</v>
      </c>
      <c r="D26" s="38">
        <f>Calculations!G28</f>
        <v>11526254.635356812</v>
      </c>
      <c r="E26" s="38">
        <f>Calculations!H28</f>
        <v>4406012.0787568735</v>
      </c>
      <c r="F26" s="58">
        <f t="shared" si="0"/>
        <v>339.42803062196361</v>
      </c>
    </row>
    <row r="27" spans="1:6">
      <c r="A27" s="36">
        <v>12</v>
      </c>
      <c r="B27" s="37">
        <f>Calculations!S29</f>
        <v>33448.506874999999</v>
      </c>
      <c r="C27" s="37">
        <f>Calculations!T29</f>
        <v>11613.682714152104</v>
      </c>
      <c r="D27" s="38">
        <f>Calculations!G29</f>
        <v>11540782.46497366</v>
      </c>
      <c r="E27" s="38">
        <f>Calculations!H29</f>
        <v>4007084.2720166808</v>
      </c>
      <c r="F27" s="58">
        <f t="shared" si="0"/>
        <v>345.03131957736036</v>
      </c>
    </row>
    <row r="28" spans="1:6">
      <c r="A28" s="36">
        <v>13</v>
      </c>
      <c r="B28" s="37">
        <f>Calculations!S30</f>
        <v>32946.779271874999</v>
      </c>
      <c r="C28" s="37">
        <f>Calculations!T30</f>
        <v>10390.63130391037</v>
      </c>
      <c r="D28" s="38">
        <f>Calculations!G30</f>
        <v>11619354.107334323</v>
      </c>
      <c r="E28" s="38">
        <f>Calculations!H30</f>
        <v>3664468.1873942902</v>
      </c>
      <c r="F28" s="58">
        <f t="shared" si="0"/>
        <v>352.67040858385752</v>
      </c>
    </row>
    <row r="29" spans="1:6">
      <c r="A29" s="36">
        <v>14</v>
      </c>
      <c r="B29" s="37">
        <f>Calculations!S31</f>
        <v>32452.577582796872</v>
      </c>
      <c r="C29" s="37">
        <f>Calculations!T31</f>
        <v>9296.3809629686839</v>
      </c>
      <c r="D29" s="38">
        <f>Calculations!G31</f>
        <v>11675432.650727848</v>
      </c>
      <c r="E29" s="38">
        <f>Calculations!H31</f>
        <v>3344550.0454233899</v>
      </c>
      <c r="F29" s="58">
        <f t="shared" si="0"/>
        <v>359.76903902132568</v>
      </c>
    </row>
    <row r="30" spans="1:6">
      <c r="A30" s="36">
        <v>15</v>
      </c>
      <c r="B30" s="37">
        <f>Calculations!S32</f>
        <v>31965.788919054918</v>
      </c>
      <c r="C30" s="37">
        <f>Calculations!T32</f>
        <v>8317.3674900891328</v>
      </c>
      <c r="D30" s="38">
        <f>Calculations!G32</f>
        <v>11761525.602576576</v>
      </c>
      <c r="E30" s="38">
        <f>Calculations!H32</f>
        <v>3060300.8400148586</v>
      </c>
      <c r="F30" s="58">
        <f t="shared" si="0"/>
        <v>367.94103947691065</v>
      </c>
    </row>
    <row r="31" spans="1:6">
      <c r="A31" s="36">
        <v>16</v>
      </c>
      <c r="B31" s="37">
        <f>Calculations!S33</f>
        <v>31486.302085269093</v>
      </c>
      <c r="C31" s="37">
        <f>Calculations!T33</f>
        <v>7441.4551469823027</v>
      </c>
      <c r="D31" s="38">
        <f>Calculations!G33</f>
        <v>11832247.784200428</v>
      </c>
      <c r="E31" s="38">
        <f>Calculations!H33</f>
        <v>2796426.8695529704</v>
      </c>
      <c r="F31" s="58">
        <f t="shared" si="0"/>
        <v>375.79032787518605</v>
      </c>
    </row>
    <row r="32" spans="1:6">
      <c r="A32" s="36">
        <v>17</v>
      </c>
      <c r="B32" s="37">
        <f>Calculations!S34</f>
        <v>31014.007553990057</v>
      </c>
      <c r="C32" s="37">
        <f>Calculations!T34</f>
        <v>6657.7862250927137</v>
      </c>
      <c r="D32" s="38">
        <f>Calculations!G34</f>
        <v>11894210.373402009</v>
      </c>
      <c r="E32" s="38">
        <f>Calculations!H34</f>
        <v>2553333.6781625566</v>
      </c>
      <c r="F32" s="58">
        <f t="shared" si="0"/>
        <v>383.51091366364801</v>
      </c>
    </row>
    <row r="33" spans="1:6">
      <c r="A33" s="36">
        <v>18</v>
      </c>
      <c r="B33" s="37">
        <f>Calculations!S35</f>
        <v>35000</v>
      </c>
      <c r="C33" s="37">
        <f>Calculations!T35</f>
        <v>6824.5771807912215</v>
      </c>
      <c r="D33" s="38">
        <f>Calculations!G35</f>
        <v>19271754.610466033</v>
      </c>
      <c r="E33" s="38">
        <f>Calculations!H35</f>
        <v>3757759.3356684148</v>
      </c>
      <c r="F33" s="58">
        <f t="shared" si="0"/>
        <v>550.62156029902962</v>
      </c>
    </row>
    <row r="34" spans="1:6">
      <c r="A34" s="36">
        <v>19</v>
      </c>
      <c r="B34" s="37">
        <f>Calculations!S36</f>
        <v>34475</v>
      </c>
      <c r="C34" s="37">
        <f>Calculations!T36</f>
        <v>6105.872446839855</v>
      </c>
      <c r="D34" s="38">
        <f>Calculations!G36</f>
        <v>13742619.287045557</v>
      </c>
      <c r="E34" s="38">
        <f>Calculations!H36</f>
        <v>2433957.3735223045</v>
      </c>
      <c r="F34" s="58">
        <f t="shared" si="0"/>
        <v>398.62565009559268</v>
      </c>
    </row>
    <row r="35" spans="1:6">
      <c r="A35" s="36">
        <v>20</v>
      </c>
      <c r="B35" s="37">
        <f>Calculations!S37</f>
        <v>33957.875</v>
      </c>
      <c r="C35" s="37">
        <f>Calculations!T37</f>
        <v>5462.855404729381</v>
      </c>
      <c r="D35" s="38">
        <f>Calculations!G37</f>
        <v>13848292.126446635</v>
      </c>
      <c r="E35" s="38">
        <f>Calculations!H37</f>
        <v>2227795.9822053155</v>
      </c>
      <c r="F35" s="58">
        <f t="shared" si="0"/>
        <v>407.80797168393588</v>
      </c>
    </row>
    <row r="36" spans="1:6">
      <c r="A36" s="36">
        <v>21</v>
      </c>
      <c r="B36" s="37">
        <f>Calculations!S38</f>
        <v>33448.506874999999</v>
      </c>
      <c r="C36" s="37">
        <f>Calculations!T38</f>
        <v>4887.5552892406704</v>
      </c>
      <c r="D36" s="38">
        <f>Calculations!G38</f>
        <v>13944564.677884677</v>
      </c>
      <c r="E36" s="38">
        <f>Calculations!H38</f>
        <v>2037604.5813421344</v>
      </c>
      <c r="F36" s="58">
        <f t="shared" si="0"/>
        <v>416.89647702352562</v>
      </c>
    </row>
    <row r="37" spans="1:6">
      <c r="A37" s="36">
        <v>22</v>
      </c>
      <c r="B37" s="37">
        <f>Calculations!S39</f>
        <v>32946.779271874999</v>
      </c>
      <c r="C37" s="37">
        <f>Calculations!T39</f>
        <v>4372.8407463802941</v>
      </c>
      <c r="D37" s="38">
        <f>Calculations!G39</f>
        <v>13985433.035990655</v>
      </c>
      <c r="E37" s="38">
        <f>Calculations!H39</f>
        <v>1856207.8839602647</v>
      </c>
      <c r="F37" s="58">
        <f t="shared" si="0"/>
        <v>424.48558994442635</v>
      </c>
    </row>
    <row r="38" spans="1:6">
      <c r="A38" s="36">
        <v>23</v>
      </c>
      <c r="B38" s="37">
        <f>Calculations!S40</f>
        <v>32452.577582796872</v>
      </c>
      <c r="C38" s="37">
        <f>Calculations!T40</f>
        <v>3912.3314339375011</v>
      </c>
      <c r="D38" s="38">
        <f>Calculations!G40</f>
        <v>14105183.039896341</v>
      </c>
      <c r="E38" s="38">
        <f>Calculations!H40</f>
        <v>1700455.0978311726</v>
      </c>
      <c r="F38" s="58">
        <f t="shared" si="0"/>
        <v>434.63983727978223</v>
      </c>
    </row>
    <row r="39" spans="1:6">
      <c r="A39" s="36">
        <v>24</v>
      </c>
      <c r="B39" s="37">
        <f>Calculations!S41</f>
        <v>31965.788919054918</v>
      </c>
      <c r="C39" s="37">
        <f>Calculations!T41</f>
        <v>3500.3189314967822</v>
      </c>
      <c r="D39" s="38">
        <f>Calculations!G41</f>
        <v>14166401.787594633</v>
      </c>
      <c r="E39" s="38">
        <f>Calculations!H41</f>
        <v>1551249.8219228499</v>
      </c>
      <c r="F39" s="58">
        <f t="shared" si="0"/>
        <v>443.17385137802717</v>
      </c>
    </row>
    <row r="40" spans="1:6">
      <c r="A40" s="36">
        <v>25</v>
      </c>
      <c r="B40" s="37">
        <f>Calculations!S42</f>
        <v>31486.302085269093</v>
      </c>
      <c r="C40" s="37">
        <f>Calculations!T42</f>
        <v>3131.6959795156508</v>
      </c>
      <c r="D40" s="38">
        <f>Calculations!G42</f>
        <v>14286669.415096698</v>
      </c>
      <c r="E40" s="38">
        <f>Calculations!H42</f>
        <v>1420983.1642585909</v>
      </c>
      <c r="F40" s="58">
        <f t="shared" si="0"/>
        <v>453.74237268023717</v>
      </c>
    </row>
    <row r="41" spans="1:6">
      <c r="A41" s="36">
        <v>26</v>
      </c>
      <c r="B41" s="37">
        <f>Calculations!S43</f>
        <v>31014.007553990057</v>
      </c>
      <c r="C41" s="37">
        <f>Calculations!T43</f>
        <v>2801.8931703233884</v>
      </c>
      <c r="D41" s="38">
        <f>Calculations!G43</f>
        <v>14364145.425463062</v>
      </c>
      <c r="E41" s="38">
        <f>Calculations!H43</f>
        <v>1297697.5289334708</v>
      </c>
      <c r="F41" s="58">
        <f t="shared" si="0"/>
        <v>463.15025236443739</v>
      </c>
    </row>
    <row r="42" spans="1:6">
      <c r="A42" s="36">
        <v>27</v>
      </c>
      <c r="B42" s="37">
        <f>Calculations!S44</f>
        <v>35000</v>
      </c>
      <c r="C42" s="37">
        <f>Calculations!T44</f>
        <v>2872.0862380854655</v>
      </c>
      <c r="D42" s="38">
        <f>Calculations!G44</f>
        <v>23264826.336268824</v>
      </c>
      <c r="E42" s="38">
        <f>Calculations!H44</f>
        <v>1909102.501481314</v>
      </c>
      <c r="F42" s="58">
        <f t="shared" si="0"/>
        <v>664.70932389339498</v>
      </c>
    </row>
    <row r="43" spans="1:6">
      <c r="A43" s="36">
        <v>28</v>
      </c>
      <c r="B43" s="37">
        <f>Calculations!S45</f>
        <v>34475</v>
      </c>
      <c r="C43" s="37">
        <f>Calculations!T45</f>
        <v>2569.6232545267867</v>
      </c>
      <c r="D43" s="38">
        <f>Calculations!G45</f>
        <v>16596350.758691642</v>
      </c>
      <c r="E43" s="38">
        <f>Calculations!H45</f>
        <v>1237023.0268257381</v>
      </c>
      <c r="F43" s="58">
        <f t="shared" si="0"/>
        <v>481.40248756175902</v>
      </c>
    </row>
    <row r="44" spans="1:6">
      <c r="A44" s="36">
        <v>29</v>
      </c>
      <c r="B44" s="37">
        <f>Calculations!S46</f>
        <v>33957.875</v>
      </c>
      <c r="C44" s="37">
        <f>Calculations!T46</f>
        <v>2299.0130249732242</v>
      </c>
      <c r="D44" s="38">
        <f>Calculations!G46</f>
        <v>16710314.925675465</v>
      </c>
      <c r="E44" s="38">
        <f>Calculations!H46</f>
        <v>1131320.2509147692</v>
      </c>
      <c r="F44" s="58">
        <f t="shared" si="0"/>
        <v>492.08953521607185</v>
      </c>
    </row>
    <row r="45" spans="1:6" ht="15" thickBot="1">
      <c r="A45" s="40">
        <v>30</v>
      </c>
      <c r="B45" s="41">
        <f>Calculations!S47</f>
        <v>33448.506874999999</v>
      </c>
      <c r="C45" s="41">
        <f>Calculations!T47</f>
        <v>2056.901096176407</v>
      </c>
      <c r="D45" s="42">
        <f>Calculations!G47</f>
        <v>17212399.368340634</v>
      </c>
      <c r="E45" s="42">
        <f>Calculations!H47</f>
        <v>1058468.865617068</v>
      </c>
      <c r="F45" s="62">
        <f t="shared" si="0"/>
        <v>514.59395280826379</v>
      </c>
    </row>
  </sheetData>
  <sheetProtection sheet="1" objects="1" scenarios="1"/>
  <mergeCells count="7">
    <mergeCell ref="A7:B7"/>
    <mergeCell ref="A12:B12"/>
    <mergeCell ref="A2:B2"/>
    <mergeCell ref="A3:B3"/>
    <mergeCell ref="A4:B4"/>
    <mergeCell ref="A5:B5"/>
    <mergeCell ref="A6:B6"/>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50BCD-9E6D-4A75-89AA-059E41F0391A}">
  <sheetPr>
    <tabColor theme="0" tint="-0.249977111117893"/>
  </sheetPr>
  <dimension ref="A1:T81"/>
  <sheetViews>
    <sheetView topLeftCell="G7" workbookViewId="0">
      <selection activeCell="A22" sqref="A22"/>
    </sheetView>
  </sheetViews>
  <sheetFormatPr defaultColWidth="8.81640625" defaultRowHeight="14.5"/>
  <cols>
    <col min="1" max="1" width="36" customWidth="1"/>
    <col min="2" max="2" width="22.36328125" customWidth="1"/>
    <col min="3" max="3" width="15.81640625" customWidth="1"/>
    <col min="4" max="4" width="16.36328125" customWidth="1"/>
    <col min="5" max="5" width="12.36328125" bestFit="1" customWidth="1"/>
    <col min="6" max="6" width="17.453125" customWidth="1"/>
    <col min="7" max="7" width="13.453125" bestFit="1" customWidth="1"/>
    <col min="8" max="8" width="17.1796875" customWidth="1"/>
    <col min="12" max="12" width="15.81640625" customWidth="1"/>
    <col min="14" max="14" width="13.1796875" customWidth="1"/>
    <col min="15" max="15" width="19.81640625" customWidth="1"/>
    <col min="17" max="17" width="12.81640625" customWidth="1"/>
    <col min="19" max="19" width="10.36328125" bestFit="1" customWidth="1"/>
    <col min="20" max="20" width="12" customWidth="1"/>
  </cols>
  <sheetData>
    <row r="1" spans="1:20" ht="16" thickBot="1">
      <c r="A1" s="257" t="s">
        <v>79</v>
      </c>
      <c r="B1" s="257"/>
    </row>
    <row r="2" spans="1:20">
      <c r="A2" s="119" t="s">
        <v>46</v>
      </c>
      <c r="B2" s="68" t="str">
        <f>Inputs!B2</f>
        <v>Lithium Ion</v>
      </c>
    </row>
    <row r="3" spans="1:20">
      <c r="A3" s="118" t="s">
        <v>47</v>
      </c>
      <c r="B3" s="53" t="str">
        <f>Inputs!B4</f>
        <v>350 Days</v>
      </c>
    </row>
    <row r="4" spans="1:20">
      <c r="A4" s="118" t="s">
        <v>48</v>
      </c>
      <c r="B4" s="69">
        <f>IF($B$3="350 Days",'Discharge Scenario'!$D$3,IF($B$3="Summer Only",'Discharge Scenario'!$D$4,'Discharge Scenario'!$D$5))</f>
        <v>35000</v>
      </c>
      <c r="C4" s="11"/>
      <c r="E4" s="3"/>
      <c r="F4" s="3"/>
    </row>
    <row r="5" spans="1:20">
      <c r="A5" s="118" t="s">
        <v>37</v>
      </c>
      <c r="B5" s="69">
        <f>SUMIFS(Capex!$D$3:$D$8, Capex!$A$3:$A$8,Calculations!$B$2)</f>
        <v>3250</v>
      </c>
      <c r="C5" s="6"/>
      <c r="E5" s="3"/>
      <c r="F5" s="3"/>
    </row>
    <row r="6" spans="1:20">
      <c r="A6" s="118" t="s">
        <v>57</v>
      </c>
      <c r="B6" s="53">
        <f>ROUND((B5)/(IF($B$3="350 Days",'Discharge Scenario'!$B$3,IF($B$3="Summer Only",'Discharge Scenario'!$B$4,'Discharge Scenario'!$B$5))),0)</f>
        <v>9</v>
      </c>
      <c r="C6" s="6"/>
    </row>
    <row r="7" spans="1:20">
      <c r="A7" s="118" t="s">
        <v>59</v>
      </c>
      <c r="B7" s="53">
        <f>Inputs!$B$41</f>
        <v>30</v>
      </c>
      <c r="C7" s="6"/>
    </row>
    <row r="8" spans="1:20" ht="15" thickBot="1">
      <c r="A8" s="120" t="s">
        <v>107</v>
      </c>
      <c r="B8" s="151" t="str">
        <f>Inputs!B47</f>
        <v>Base/Base</v>
      </c>
      <c r="C8" s="6"/>
    </row>
    <row r="9" spans="1:20" ht="16" thickBot="1">
      <c r="A9" s="255" t="s">
        <v>80</v>
      </c>
      <c r="B9" s="256"/>
      <c r="C9" s="6"/>
    </row>
    <row r="10" spans="1:20">
      <c r="A10" s="51" t="s">
        <v>129</v>
      </c>
      <c r="B10" s="215">
        <f>G48</f>
        <v>401770396.94530541</v>
      </c>
      <c r="C10" s="6"/>
    </row>
    <row r="11" spans="1:20" ht="15" thickBot="1">
      <c r="A11" s="52" t="s">
        <v>62</v>
      </c>
      <c r="B11" s="193">
        <f>S48</f>
        <v>996107.88618496759</v>
      </c>
      <c r="C11" s="6"/>
    </row>
    <row r="12" spans="1:20">
      <c r="A12" s="51" t="s">
        <v>130</v>
      </c>
      <c r="B12" s="215">
        <f>H48</f>
        <v>125123700.6623036</v>
      </c>
      <c r="C12" s="12"/>
    </row>
    <row r="13" spans="1:20" ht="15" thickBot="1">
      <c r="A13" s="52" t="s">
        <v>131</v>
      </c>
      <c r="B13" s="193">
        <f>T48</f>
        <v>344120.12357370573</v>
      </c>
      <c r="C13" s="12"/>
    </row>
    <row r="14" spans="1:20" ht="15" thickBot="1">
      <c r="A14" s="52" t="s">
        <v>70</v>
      </c>
      <c r="B14" s="228">
        <f>IF(C14="$/MWh",(B12/B13),IF(C14="$/KW-Year",(B12/(Inputs!B15*1000))/Inputs!B41,(B12/(Inputs!B15))/Inputs!B41))</f>
        <v>363.60471850029381</v>
      </c>
      <c r="C14" t="str">
        <f>Inputs!$B$43</f>
        <v>$/MWh</v>
      </c>
    </row>
    <row r="15" spans="1:20" ht="15" thickBot="1">
      <c r="A15" s="9"/>
      <c r="B15" s="10"/>
    </row>
    <row r="16" spans="1:20" ht="16" thickBot="1">
      <c r="A16" s="252" t="s">
        <v>49</v>
      </c>
      <c r="B16" s="253"/>
      <c r="C16" s="253"/>
      <c r="D16" s="253"/>
      <c r="E16" s="253"/>
      <c r="F16" s="253"/>
      <c r="G16" s="253"/>
      <c r="H16" s="254"/>
      <c r="K16" s="258" t="s">
        <v>60</v>
      </c>
      <c r="L16" s="259"/>
      <c r="M16" s="259"/>
      <c r="N16" s="259"/>
      <c r="O16" s="259"/>
      <c r="P16" s="259"/>
      <c r="Q16" s="259"/>
      <c r="R16" s="259"/>
      <c r="S16" s="259"/>
      <c r="T16" s="67"/>
    </row>
    <row r="17" spans="1:20" ht="29.5" thickBot="1">
      <c r="A17" s="143" t="s">
        <v>45</v>
      </c>
      <c r="B17" s="139" t="s">
        <v>23</v>
      </c>
      <c r="C17" s="144" t="s">
        <v>15</v>
      </c>
      <c r="D17" s="145" t="s">
        <v>22</v>
      </c>
      <c r="E17" s="144" t="s">
        <v>64</v>
      </c>
      <c r="F17" s="139" t="s">
        <v>110</v>
      </c>
      <c r="G17" s="144" t="s">
        <v>61</v>
      </c>
      <c r="H17" s="142" t="s">
        <v>71</v>
      </c>
      <c r="K17" s="199" t="s">
        <v>45</v>
      </c>
      <c r="L17" s="200" t="s">
        <v>51</v>
      </c>
      <c r="M17" s="200" t="s">
        <v>53</v>
      </c>
      <c r="N17" s="200" t="s">
        <v>50</v>
      </c>
      <c r="O17" s="201" t="s">
        <v>88</v>
      </c>
      <c r="P17" s="200" t="s">
        <v>52</v>
      </c>
      <c r="Q17" s="200" t="s">
        <v>55</v>
      </c>
      <c r="R17" s="202" t="s">
        <v>58</v>
      </c>
      <c r="S17" s="200" t="s">
        <v>56</v>
      </c>
      <c r="T17" s="203" t="s">
        <v>132</v>
      </c>
    </row>
    <row r="18" spans="1:20">
      <c r="A18" s="36">
        <v>1</v>
      </c>
      <c r="B18" s="56">
        <f>SUMIFS(Capex!$B$3:$B$8,Capex!A3:A8,Calculations!B2)*1000*Inputs!B15</f>
        <v>7200000</v>
      </c>
      <c r="C18" s="38">
        <f>(IF(AND(A18&lt;=$B$7,Q18=1), $B$18, 0)*0.54)*((1+Inputs!$B$36)^(Calculations!$A18-1))</f>
        <v>0</v>
      </c>
      <c r="D18" s="38">
        <f>(SUMIFS(Capex!$C$3:$C$8,Capex!$A$3:$A$8,Calculations!$B$2)*S18)*((1+Inputs!$B$36)^(Calculations!$A18-1))</f>
        <v>9485000</v>
      </c>
      <c r="E18" s="38">
        <f>(IF(A18&lt;=$B$7, Inputs!$B$12*Inputs!$B$15*1000, 0))*((1+Inputs!$B$36)^(Calculations!$A18-1))</f>
        <v>250000</v>
      </c>
      <c r="F18" s="188">
        <f>IF(Inputs!$B$45="SP15", 'Selected Forward Price'!D18, 'Selected Forward Price'!C176)*S18</f>
        <v>-85749.999999999971</v>
      </c>
      <c r="G18" s="38">
        <f>IF(A18&lt;=$B$7,(SUM(B18:E18)-F18),0)</f>
        <v>17020750</v>
      </c>
      <c r="H18" s="39">
        <f>G18/((1+Inputs!$B$38)^(Calculations!A18-Calculations!$A$18))</f>
        <v>17020750</v>
      </c>
      <c r="K18" s="54">
        <v>1</v>
      </c>
      <c r="L18" s="194">
        <f>IF($B$3="350 Days",Capex!$E$15,IF($B$3="Summer Only",Capex!$E$16,Capex!$E$17))</f>
        <v>35000</v>
      </c>
      <c r="M18" s="194" t="s">
        <v>54</v>
      </c>
      <c r="N18" s="195">
        <f>Inputs!$B$6</f>
        <v>1</v>
      </c>
      <c r="O18" s="196">
        <v>0</v>
      </c>
      <c r="P18" s="197">
        <f>IF($B$7&gt;=K18, L18*N18, 0)</f>
        <v>35000</v>
      </c>
      <c r="Q18" s="55" t="b">
        <f>IF(K18=$B$6, 1, IF(K18=$B$6*2, 1, IF(K18=$B$6*3, 1, IF(K18=$B$6*4, 1, IF(K18=$B$6*5, 1, IF(K18=$B$6*6, 1, IF(K18=$B$6*7, 1, IF(K18=$B$6*8, 1))))))))</f>
        <v>0</v>
      </c>
      <c r="R18" s="55">
        <f>K18</f>
        <v>1</v>
      </c>
      <c r="S18" s="197">
        <f t="shared" ref="S18:S47" si="0">IF(K18&lt;=$B$7, (SUMIFS($P$18:$P$47, $K$18:$K$47, R18)), 0)</f>
        <v>35000</v>
      </c>
      <c r="T18" s="198">
        <f>S18/((1+Inputs!$B$38)^(Calculations!A18-Calculations!$A$18))</f>
        <v>35000</v>
      </c>
    </row>
    <row r="19" spans="1:20">
      <c r="A19" s="36">
        <v>2</v>
      </c>
      <c r="B19" s="59">
        <v>0</v>
      </c>
      <c r="C19" s="38">
        <f>(IF(AND(A19&lt;=$B$7,Q19=1), $B$18, 0)*0.54)*((1+Inputs!$B$36)^(Calculations!$A19-1))</f>
        <v>0</v>
      </c>
      <c r="D19" s="38">
        <f>(SUMIFS(Capex!$C$3:$C$8,Capex!$A$3:$A$8,Calculations!$B$2)*S19)*((1+Inputs!$B$36)^(Calculations!$A19-1))</f>
        <v>9542659.3150000013</v>
      </c>
      <c r="E19" s="38">
        <f>(IF(A19&lt;=$B$7, Inputs!$B$12*Inputs!$B$15*1000, 0))*((1+Inputs!$B$36)^(Calculations!$A19-1))</f>
        <v>255350.00000000003</v>
      </c>
      <c r="F19" s="188">
        <f>IF(Inputs!$B$45="SP15", 'Selected Forward Price'!D19, 'Selected Forward Price'!C177)*S19</f>
        <v>-54125.750000000007</v>
      </c>
      <c r="G19" s="38">
        <f t="shared" ref="G19:G47" si="1">IF(A19&lt;=$B$7,(SUM(B19:E19)-F19),0)</f>
        <v>9852135.0650000013</v>
      </c>
      <c r="H19" s="39">
        <f>G19/((1+Inputs!$B$38)^(Calculations!A19-Calculations!$A$18))</f>
        <v>8948826.8371019978</v>
      </c>
      <c r="K19" s="36">
        <v>2</v>
      </c>
      <c r="L19" s="70">
        <f>IF($B$3="350 Days",Capex!$E$15,IF($B$3="Summer Only",Capex!$E$16,Capex!$E$17))</f>
        <v>35000</v>
      </c>
      <c r="M19" s="70">
        <f>P18</f>
        <v>35000</v>
      </c>
      <c r="N19" s="71">
        <f>Inputs!$B$6</f>
        <v>1</v>
      </c>
      <c r="O19" s="101">
        <f>1-Inputs!$B$10</f>
        <v>0.98499999999999999</v>
      </c>
      <c r="P19" s="37">
        <f>IF($B$7&gt;=K19, M19*O19, 0)</f>
        <v>34475</v>
      </c>
      <c r="Q19" s="59" t="b">
        <f t="shared" ref="Q19:Q47" si="2">IF(K19=$B$6, 1, IF(K19=$B$6*2, 1, IF(K19=$B$6*3, 1, IF(K19=$B$6*4, 1, IF(K19=$B$6*5, 1, IF(K19=$B$6*6, 1, IF(K19=$B$6*7, 1, IF(K19=$B$6*8, 1))))))))</f>
        <v>0</v>
      </c>
      <c r="R19" s="59">
        <f>IF(Q19=1, 1, R18+1)</f>
        <v>2</v>
      </c>
      <c r="S19" s="37">
        <f t="shared" si="0"/>
        <v>34475</v>
      </c>
      <c r="T19" s="140">
        <f>S19/((1+Inputs!$B$38)^(Calculations!A19-Calculations!$A$18))</f>
        <v>31314.106350925402</v>
      </c>
    </row>
    <row r="20" spans="1:20">
      <c r="A20" s="36">
        <v>3</v>
      </c>
      <c r="B20" s="59">
        <v>0</v>
      </c>
      <c r="C20" s="38">
        <f>(IF(AND(A20&lt;=$B$7,Q20=1), $B$18, 0)*0.54)*((1+Inputs!$B$36)^(Calculations!$A20-1))</f>
        <v>0</v>
      </c>
      <c r="D20" s="38">
        <f>(SUMIFS(Capex!$C$3:$C$8,Capex!$A$3:$A$8,Calculations!$B$2)*S20)*((1+Inputs!$B$36)^(Calculations!$A20-1))</f>
        <v>9600669.140975887</v>
      </c>
      <c r="E20" s="38">
        <f>(IF(A20&lt;=$B$7, Inputs!$B$12*Inputs!$B$15*1000, 0))*((1+Inputs!$B$36)^(Calculations!$A20-1))</f>
        <v>260814.49000000008</v>
      </c>
      <c r="F20" s="188">
        <f>IF(Inputs!$B$45="SP15", 'Selected Forward Price'!D20, 'Selected Forward Price'!C178)*S20</f>
        <v>-40070.292499999989</v>
      </c>
      <c r="G20" s="38">
        <f t="shared" si="1"/>
        <v>9901553.9234758876</v>
      </c>
      <c r="H20" s="39">
        <f>G20/((1+Inputs!$B$38)^(Calculations!A20-Calculations!$A$18))</f>
        <v>8169112.025429111</v>
      </c>
      <c r="K20" s="36">
        <v>3</v>
      </c>
      <c r="L20" s="70">
        <f>IF($B$3="350 Days",Capex!$E$15,IF($B$3="Summer Only",Capex!$E$16,Capex!$E$17))</f>
        <v>35000</v>
      </c>
      <c r="M20" s="70">
        <f>P19</f>
        <v>34475</v>
      </c>
      <c r="N20" s="71">
        <f>Inputs!$B$6</f>
        <v>1</v>
      </c>
      <c r="O20" s="101">
        <f>1-Inputs!$B$10</f>
        <v>0.98499999999999999</v>
      </c>
      <c r="P20" s="37">
        <f>IF($B$7&gt;=K20, M20*O20, 0)</f>
        <v>33957.875</v>
      </c>
      <c r="Q20" s="59" t="b">
        <f t="shared" si="2"/>
        <v>0</v>
      </c>
      <c r="R20" s="59">
        <f t="shared" ref="R20:R47" si="3">IF(Q20=1, 1, R19+1)</f>
        <v>3</v>
      </c>
      <c r="S20" s="37">
        <f t="shared" si="0"/>
        <v>33957.875</v>
      </c>
      <c r="T20" s="140">
        <f>S20/((1+Inputs!$B$38)^(Calculations!A20-Calculations!$A$18))</f>
        <v>28016.378758773328</v>
      </c>
    </row>
    <row r="21" spans="1:20">
      <c r="A21" s="36">
        <v>4</v>
      </c>
      <c r="B21" s="59">
        <v>0</v>
      </c>
      <c r="C21" s="38">
        <f>(IF(AND(A21&lt;=$B$7,Q21=1), $B$18, 0)*0.54)*((1+Inputs!$B$36)^(Calculations!$A21-1))</f>
        <v>0</v>
      </c>
      <c r="D21" s="38">
        <f>(SUMIFS(Capex!$C$3:$C$8,Capex!$A$3:$A$8,Calculations!$B$2)*S21)*((1+Inputs!$B$36)^(Calculations!$A21-1))</f>
        <v>9659031.6086838804</v>
      </c>
      <c r="E21" s="38">
        <f>(IF(A21&lt;=$B$7, Inputs!$B$12*Inputs!$B$15*1000, 0))*((1+Inputs!$B$36)^(Calculations!$A21-1))</f>
        <v>266395.92008600011</v>
      </c>
      <c r="F21" s="188">
        <f>IF(Inputs!$B$45="SP15", 'Selected Forward Price'!D21, 'Selected Forward Price'!C179)*S21</f>
        <v>-41810.633593749997</v>
      </c>
      <c r="G21" s="38">
        <f t="shared" si="1"/>
        <v>9967238.1623636298</v>
      </c>
      <c r="H21" s="39">
        <f>G21/((1+Inputs!$B$38)^(Calculations!A21-Calculations!$A$18))</f>
        <v>7469337.4036357868</v>
      </c>
      <c r="K21" s="36">
        <v>4</v>
      </c>
      <c r="L21" s="70">
        <f>IF($B$3="350 Days",Capex!$E$15,IF($B$3="Summer Only",Capex!$E$16,Capex!$E$17))</f>
        <v>35000</v>
      </c>
      <c r="M21" s="70">
        <f t="shared" ref="M21:M46" si="4">P20</f>
        <v>33957.875</v>
      </c>
      <c r="N21" s="71">
        <f>Inputs!$B$6</f>
        <v>1</v>
      </c>
      <c r="O21" s="101">
        <f>1-Inputs!$B$10</f>
        <v>0.98499999999999999</v>
      </c>
      <c r="P21" s="37">
        <f t="shared" ref="P21:P47" si="5">IF($B$7&gt;=K21, M21*O21, 0)</f>
        <v>33448.506874999999</v>
      </c>
      <c r="Q21" s="59" t="b">
        <f t="shared" si="2"/>
        <v>0</v>
      </c>
      <c r="R21" s="59">
        <f t="shared" si="3"/>
        <v>4</v>
      </c>
      <c r="S21" s="37">
        <f t="shared" si="0"/>
        <v>33448.506874999999</v>
      </c>
      <c r="T21" s="140">
        <f>S21/((1+Inputs!$B$38)^(Calculations!A21-Calculations!$A$18))</f>
        <v>25065.938972001011</v>
      </c>
    </row>
    <row r="22" spans="1:20">
      <c r="A22" s="36">
        <v>5</v>
      </c>
      <c r="B22" s="59">
        <v>0</v>
      </c>
      <c r="C22" s="38">
        <f>(IF(AND(A22&lt;=$B$7,Q22=1), $B$18, 0)*0.54)*((1+Inputs!$B$36)^(Calculations!$A22-1))</f>
        <v>0</v>
      </c>
      <c r="D22" s="38">
        <f>(SUMIFS(Capex!$C$3:$C$8,Capex!$A$3:$A$8,Calculations!$B$2)*S22)*((1+Inputs!$B$36)^(Calculations!$A22-1))</f>
        <v>9717748.8618330695</v>
      </c>
      <c r="E22" s="38">
        <f>(IF(A22&lt;=$B$7, Inputs!$B$12*Inputs!$B$15*1000, 0))*((1+Inputs!$B$36)^(Calculations!$A22-1))</f>
        <v>272096.79277584056</v>
      </c>
      <c r="F22" s="188">
        <f>IF(Inputs!$B$45="SP15", 'Selected Forward Price'!D22, 'Selected Forward Price'!C180)*S22</f>
        <v>-25039.552246625168</v>
      </c>
      <c r="G22" s="38">
        <f t="shared" si="1"/>
        <v>10014885.206855536</v>
      </c>
      <c r="H22" s="39">
        <f>G22/((1+Inputs!$B$38)^(Calculations!A22-Calculations!$A$18))</f>
        <v>6816932.0516399052</v>
      </c>
      <c r="K22" s="36">
        <v>5</v>
      </c>
      <c r="L22" s="70">
        <f>IF($B$3="350 Days",Capex!$E$15,IF($B$3="Summer Only",Capex!$E$16,Capex!$E$17))</f>
        <v>35000</v>
      </c>
      <c r="M22" s="70">
        <f t="shared" si="4"/>
        <v>33448.506874999999</v>
      </c>
      <c r="N22" s="71">
        <f>Inputs!$B$6</f>
        <v>1</v>
      </c>
      <c r="O22" s="101">
        <f>1-Inputs!$B$10</f>
        <v>0.98499999999999999</v>
      </c>
      <c r="P22" s="37">
        <f>IF($B$7&gt;=K22, M22*O22, 0)</f>
        <v>32946.779271874999</v>
      </c>
      <c r="Q22" s="59" t="b">
        <f t="shared" si="2"/>
        <v>0</v>
      </c>
      <c r="R22" s="59">
        <f t="shared" si="3"/>
        <v>5</v>
      </c>
      <c r="S22" s="37">
        <f t="shared" si="0"/>
        <v>32946.779271874999</v>
      </c>
      <c r="T22" s="140">
        <f>S22/((1+Inputs!$B$38)^(Calculations!A22-Calculations!$A$18))</f>
        <v>22426.21367871558</v>
      </c>
    </row>
    <row r="23" spans="1:20">
      <c r="A23" s="36">
        <v>6</v>
      </c>
      <c r="B23" s="59">
        <v>0</v>
      </c>
      <c r="C23" s="38">
        <f>(IF(AND(A23&lt;=$B$7,Q23=1), $B$18, 0)*0.54)*((1+Inputs!$B$36)^(Calculations!$A23-1))</f>
        <v>0</v>
      </c>
      <c r="D23" s="38">
        <f>(SUMIFS(Capex!$C$3:$C$8,Capex!$A$3:$A$8,Calculations!$B$2)*S23)*((1+Inputs!$B$36)^(Calculations!$A23-1))</f>
        <v>9776823.0571641531</v>
      </c>
      <c r="E23" s="38">
        <f>(IF(A23&lt;=$B$7, Inputs!$B$12*Inputs!$B$15*1000, 0))*((1+Inputs!$B$36)^(Calculations!$A23-1))</f>
        <v>277919.66414124356</v>
      </c>
      <c r="F23" s="188">
        <f>IF(Inputs!$B$45="SP15", 'Selected Forward Price'!D23, 'Selected Forward Price'!C181)*S23</f>
        <v>13954.608360602646</v>
      </c>
      <c r="G23" s="38">
        <f t="shared" si="1"/>
        <v>10040788.112944793</v>
      </c>
      <c r="H23" s="39">
        <f>G23/((1+Inputs!$B$38)^(Calculations!A23-Calculations!$A$18))</f>
        <v>6207926.1128136544</v>
      </c>
      <c r="K23" s="36">
        <v>6</v>
      </c>
      <c r="L23" s="70">
        <f>IF($B$3="350 Days",Capex!$E$15,IF($B$3="Summer Only",Capex!$E$16,Capex!$E$17))</f>
        <v>35000</v>
      </c>
      <c r="M23" s="70">
        <f t="shared" si="4"/>
        <v>32946.779271874999</v>
      </c>
      <c r="N23" s="71">
        <f>Inputs!$B$6</f>
        <v>1</v>
      </c>
      <c r="O23" s="101">
        <f>1-Inputs!$B$10</f>
        <v>0.98499999999999999</v>
      </c>
      <c r="P23" s="37">
        <f t="shared" si="5"/>
        <v>32452.577582796872</v>
      </c>
      <c r="Q23" s="59" t="b">
        <f t="shared" si="2"/>
        <v>0</v>
      </c>
      <c r="R23" s="59">
        <f t="shared" si="3"/>
        <v>6</v>
      </c>
      <c r="S23" s="37">
        <f t="shared" si="0"/>
        <v>32452.577582796872</v>
      </c>
      <c r="T23" s="140">
        <f>S23/((1+Inputs!$B$38)^(Calculations!A23-Calculations!$A$18))</f>
        <v>20064.48114811079</v>
      </c>
    </row>
    <row r="24" spans="1:20">
      <c r="A24" s="36">
        <v>7</v>
      </c>
      <c r="B24" s="59">
        <v>0</v>
      </c>
      <c r="C24" s="38">
        <f>(IF(AND(A24&lt;=$B$7,Q24=1), $B$18, 0)*0.54)*((1+Inputs!$B$36)^(Calculations!$A24-1))</f>
        <v>0</v>
      </c>
      <c r="D24" s="38">
        <f>(SUMIFS(Capex!$C$3:$C$8,Capex!$A$3:$A$8,Calculations!$B$2)*S24)*((1+Inputs!$B$36)^(Calculations!$A24-1))</f>
        <v>9836256.3645286579</v>
      </c>
      <c r="E24" s="38">
        <f>(IF(A24&lt;=$B$7, Inputs!$B$12*Inputs!$B$15*1000, 0))*((1+Inputs!$B$36)^(Calculations!$A24-1))</f>
        <v>283867.1449538662</v>
      </c>
      <c r="F24" s="188">
        <f>IF(Inputs!$B$45="SP15", 'Selected Forward Price'!D24, 'Selected Forward Price'!C182)*S24</f>
        <v>63611.919948919349</v>
      </c>
      <c r="G24" s="38">
        <f t="shared" si="1"/>
        <v>10056511.589533605</v>
      </c>
      <c r="H24" s="39">
        <f>G24/((1+Inputs!$B$38)^(Calculations!A24-Calculations!$A$18))</f>
        <v>5647572.8620412285</v>
      </c>
      <c r="K24" s="36">
        <v>7</v>
      </c>
      <c r="L24" s="70">
        <f>IF($B$3="350 Days",Capex!$E$15,IF($B$3="Summer Only",Capex!$E$16,Capex!$E$17))</f>
        <v>35000</v>
      </c>
      <c r="M24" s="70">
        <f t="shared" si="4"/>
        <v>32452.577582796872</v>
      </c>
      <c r="N24" s="71">
        <f>Inputs!$B$6</f>
        <v>1</v>
      </c>
      <c r="O24" s="101">
        <f>1-Inputs!$B$10</f>
        <v>0.98499999999999999</v>
      </c>
      <c r="P24" s="37">
        <f t="shared" si="5"/>
        <v>31965.788919054918</v>
      </c>
      <c r="Q24" s="59" t="b">
        <f t="shared" si="2"/>
        <v>0</v>
      </c>
      <c r="R24" s="59">
        <f t="shared" si="3"/>
        <v>7</v>
      </c>
      <c r="S24" s="37">
        <f t="shared" si="0"/>
        <v>31965.788919054918</v>
      </c>
      <c r="T24" s="140">
        <f>S24/((1+Inputs!$B$38)^(Calculations!A24-Calculations!$A$18))</f>
        <v>17951.465615659403</v>
      </c>
    </row>
    <row r="25" spans="1:20">
      <c r="A25" s="36">
        <v>8</v>
      </c>
      <c r="B25" s="59">
        <v>0</v>
      </c>
      <c r="C25" s="38">
        <f>(IF(AND(A25&lt;=$B$7,Q25=1), $B$18, 0)*0.54)*((1+Inputs!$B$36)^(Calculations!$A25-1))</f>
        <v>0</v>
      </c>
      <c r="D25" s="38">
        <f>(SUMIFS(Capex!$C$3:$C$8,Capex!$A$3:$A$8,Calculations!$B$2)*S25)*((1+Inputs!$B$36)^(Calculations!$A25-1))</f>
        <v>9896050.9669686276</v>
      </c>
      <c r="E25" s="38">
        <f>(IF(A25&lt;=$B$7, Inputs!$B$12*Inputs!$B$15*1000, 0))*((1+Inputs!$B$36)^(Calculations!$A25-1))</f>
        <v>289941.901855879</v>
      </c>
      <c r="F25" s="188">
        <f>IF(Inputs!$B$45="SP15", 'Selected Forward Price'!D25, 'Selected Forward Price'!C183)*S25</f>
        <v>85642.741671931901</v>
      </c>
      <c r="G25" s="38">
        <f t="shared" si="1"/>
        <v>10100350.127152575</v>
      </c>
      <c r="H25" s="39">
        <f>G25/((1+Inputs!$B$38)^(Calculations!A25-Calculations!$A$18))</f>
        <v>5152128.1928690886</v>
      </c>
      <c r="K25" s="36">
        <v>8</v>
      </c>
      <c r="L25" s="70">
        <f>IF($B$3="350 Days",Capex!$E$15,IF($B$3="Summer Only",Capex!$E$16,Capex!$E$17))</f>
        <v>35000</v>
      </c>
      <c r="M25" s="70">
        <f t="shared" si="4"/>
        <v>31965.788919054918</v>
      </c>
      <c r="N25" s="71">
        <f>Inputs!$B$6</f>
        <v>1</v>
      </c>
      <c r="O25" s="101">
        <f>1-Inputs!$B$10</f>
        <v>0.98499999999999999</v>
      </c>
      <c r="P25" s="37">
        <f t="shared" si="5"/>
        <v>31486.302085269093</v>
      </c>
      <c r="Q25" s="59" t="b">
        <f t="shared" si="2"/>
        <v>0</v>
      </c>
      <c r="R25" s="59">
        <f t="shared" si="3"/>
        <v>8</v>
      </c>
      <c r="S25" s="37">
        <f t="shared" si="0"/>
        <v>31486.302085269093</v>
      </c>
      <c r="T25" s="140">
        <f>S25/((1+Inputs!$B$38)^(Calculations!A25-Calculations!$A$18))</f>
        <v>16060.974384106828</v>
      </c>
    </row>
    <row r="26" spans="1:20">
      <c r="A26" s="36">
        <v>9</v>
      </c>
      <c r="B26" s="59">
        <v>0</v>
      </c>
      <c r="C26" s="38">
        <f>(IF(AND(A26&lt;=$B$7,Q26=1), $B$18, 0)*0.54)*((1+Inputs!$B$36)^(Calculations!$A26-1))</f>
        <v>4605672.8338566106</v>
      </c>
      <c r="D26" s="38">
        <f>(SUMIFS(Capex!$C$3:$C$8,Capex!$A$3:$A$8,Calculations!$B$2)*S26)*((1+Inputs!$B$36)^(Calculations!$A26-1))</f>
        <v>11235804.225599267</v>
      </c>
      <c r="E26" s="38">
        <f>(IF(A26&lt;=$B$7, Inputs!$B$12*Inputs!$B$15*1000, 0))*((1+Inputs!$B$36)^(Calculations!$A26-1))</f>
        <v>296146.6585555948</v>
      </c>
      <c r="F26" s="188">
        <f>IF(Inputs!$B$45="SP15", 'Selected Forward Price'!D26, 'Selected Forward Price'!C184)*S26</f>
        <v>135099.99999999997</v>
      </c>
      <c r="G26" s="38">
        <f t="shared" si="1"/>
        <v>16002523.718011472</v>
      </c>
      <c r="H26" s="39">
        <f>G26/((1+Inputs!$B$38)^(Calculations!A26-Calculations!$A$18))</f>
        <v>7414373.4768633181</v>
      </c>
      <c r="K26" s="36">
        <v>9</v>
      </c>
      <c r="L26" s="70">
        <f>IF($B$3="350 Days",Capex!$E$15,IF($B$3="Summer Only",Capex!$E$16,Capex!$E$17))</f>
        <v>35000</v>
      </c>
      <c r="M26" s="70">
        <f t="shared" si="4"/>
        <v>31486.302085269093</v>
      </c>
      <c r="N26" s="71">
        <f>Inputs!$B$6</f>
        <v>1</v>
      </c>
      <c r="O26" s="101">
        <f>1-Inputs!$B$10</f>
        <v>0.98499999999999999</v>
      </c>
      <c r="P26" s="37">
        <f t="shared" si="5"/>
        <v>31014.007553990057</v>
      </c>
      <c r="Q26" s="59">
        <f t="shared" si="2"/>
        <v>1</v>
      </c>
      <c r="R26" s="59">
        <f t="shared" si="3"/>
        <v>1</v>
      </c>
      <c r="S26" s="37">
        <f t="shared" si="0"/>
        <v>35000</v>
      </c>
      <c r="T26" s="140">
        <f>S26/((1+Inputs!$B$38)^(Calculations!A26-Calculations!$A$18))</f>
        <v>16216.384131843854</v>
      </c>
    </row>
    <row r="27" spans="1:20">
      <c r="A27" s="36">
        <v>10</v>
      </c>
      <c r="B27" s="59">
        <v>0</v>
      </c>
      <c r="C27" s="38">
        <f>(IF(AND(A27&lt;=$B$7,Q27=1), $B$18, 0)*0.54)*((1+Inputs!$B$36)^(Calculations!$A27-1))</f>
        <v>0</v>
      </c>
      <c r="D27" s="38">
        <f>(SUMIFS(Capex!$C$3:$C$8,Capex!$A$3:$A$8,Calculations!$B$2)*S27)*((1+Inputs!$B$36)^(Calculations!$A27-1))</f>
        <v>11304106.679486686</v>
      </c>
      <c r="E27" s="38">
        <f>(IF(A27&lt;=$B$7, Inputs!$B$12*Inputs!$B$15*1000, 0))*((1+Inputs!$B$36)^(Calculations!$A27-1))</f>
        <v>302484.19704868458</v>
      </c>
      <c r="F27" s="188">
        <f>IF(Inputs!$B$45="SP15", 'Selected Forward Price'!D27, 'Selected Forward Price'!C185)*S27</f>
        <v>141692.24999999997</v>
      </c>
      <c r="G27" s="38">
        <f t="shared" si="1"/>
        <v>11464898.626535371</v>
      </c>
      <c r="H27" s="39">
        <f>G27/((1+Inputs!$B$38)^(Calculations!A27-Calculations!$A$18))</f>
        <v>4824940.3141045002</v>
      </c>
      <c r="K27" s="36">
        <v>10</v>
      </c>
      <c r="L27" s="70">
        <f>IF($B$3="350 Days",Capex!$E$15,IF($B$3="Summer Only",Capex!$E$16,Capex!$E$17))</f>
        <v>35000</v>
      </c>
      <c r="M27" s="70">
        <f t="shared" si="4"/>
        <v>31014.007553990057</v>
      </c>
      <c r="N27" s="71">
        <f>Inputs!$B$6</f>
        <v>1</v>
      </c>
      <c r="O27" s="101">
        <f>1-Inputs!$B$10</f>
        <v>0.98499999999999999</v>
      </c>
      <c r="P27" s="37">
        <f t="shared" si="5"/>
        <v>30548.797440680206</v>
      </c>
      <c r="Q27" s="59" t="b">
        <f t="shared" si="2"/>
        <v>0</v>
      </c>
      <c r="R27" s="59">
        <f t="shared" si="3"/>
        <v>2</v>
      </c>
      <c r="S27" s="37">
        <f t="shared" si="0"/>
        <v>34475</v>
      </c>
      <c r="T27" s="140">
        <f>S27/((1+Inputs!$B$38)^(Calculations!A27-Calculations!$A$18))</f>
        <v>14508.6164952005</v>
      </c>
    </row>
    <row r="28" spans="1:20">
      <c r="A28" s="36">
        <v>11</v>
      </c>
      <c r="B28" s="59">
        <v>0</v>
      </c>
      <c r="C28" s="38">
        <f>(IF(AND(A28&lt;=$B$7,Q28=1), $B$18, 0)*0.54)*((1+Inputs!$B$36)^(Calculations!$A28-1))</f>
        <v>0</v>
      </c>
      <c r="D28" s="38">
        <f>(SUMIFS(Capex!$C$3:$C$8,Capex!$A$3:$A$8,Calculations!$B$2)*S28)*((1+Inputs!$B$36)^(Calculations!$A28-1))</f>
        <v>11372824.343991287</v>
      </c>
      <c r="E28" s="38">
        <f>(IF(A28&lt;=$B$7, Inputs!$B$12*Inputs!$B$15*1000, 0))*((1+Inputs!$B$36)^(Calculations!$A28-1))</f>
        <v>308957.35886552645</v>
      </c>
      <c r="F28" s="188">
        <f>IF(Inputs!$B$45="SP15", 'Selected Forward Price'!D28, 'Selected Forward Price'!C186)*S28</f>
        <v>155527.06749999995</v>
      </c>
      <c r="G28" s="38">
        <f t="shared" si="1"/>
        <v>11526254.635356812</v>
      </c>
      <c r="H28" s="39">
        <f>G28/((1+Inputs!$B$38)^(Calculations!A28-Calculations!$A$18))</f>
        <v>4406012.0787568735</v>
      </c>
      <c r="K28" s="36">
        <v>11</v>
      </c>
      <c r="L28" s="70">
        <f>IF($B$3="350 Days",Capex!$E$15,IF($B$3="Summer Only",Capex!$E$16,Capex!$E$17))</f>
        <v>35000</v>
      </c>
      <c r="M28" s="70">
        <f t="shared" si="4"/>
        <v>30548.797440680206</v>
      </c>
      <c r="N28" s="71">
        <f>Inputs!$B$6</f>
        <v>1</v>
      </c>
      <c r="O28" s="101">
        <f>1-Inputs!$B$10</f>
        <v>0.98499999999999999</v>
      </c>
      <c r="P28" s="37">
        <f t="shared" si="5"/>
        <v>30090.565479070003</v>
      </c>
      <c r="Q28" s="59" t="b">
        <f t="shared" si="2"/>
        <v>0</v>
      </c>
      <c r="R28" s="59">
        <f t="shared" si="3"/>
        <v>3</v>
      </c>
      <c r="S28" s="37">
        <f t="shared" si="0"/>
        <v>33957.875</v>
      </c>
      <c r="T28" s="140">
        <f>S28/((1+Inputs!$B$38)^(Calculations!A28-Calculations!$A$18))</f>
        <v>12980.695998157114</v>
      </c>
    </row>
    <row r="29" spans="1:20">
      <c r="A29" s="36">
        <v>12</v>
      </c>
      <c r="B29" s="59">
        <v>0</v>
      </c>
      <c r="C29" s="38">
        <f>(IF(AND(A29&lt;=$B$7,Q29=1), $B$18, 0)*0.54)*((1+Inputs!$B$36)^(Calculations!$A29-1))</f>
        <v>0</v>
      </c>
      <c r="D29" s="38">
        <f>(SUMIFS(Capex!$C$3:$C$8,Capex!$A$3:$A$8,Calculations!$B$2)*S29)*((1+Inputs!$B$36)^(Calculations!$A29-1))</f>
        <v>11441959.74317841</v>
      </c>
      <c r="E29" s="38">
        <f>(IF(A29&lt;=$B$7, Inputs!$B$12*Inputs!$B$15*1000, 0))*((1+Inputs!$B$36)^(Calculations!$A29-1))</f>
        <v>315569.04634524876</v>
      </c>
      <c r="F29" s="188">
        <f>IF(Inputs!$B$45="SP15", 'Selected Forward Price'!D29, 'Selected Forward Price'!C187)*S29</f>
        <v>216746.3245499999</v>
      </c>
      <c r="G29" s="38">
        <f t="shared" si="1"/>
        <v>11540782.46497366</v>
      </c>
      <c r="H29" s="39">
        <f>G29/((1+Inputs!$B$38)^(Calculations!A29-Calculations!$A$18))</f>
        <v>4007084.2720166808</v>
      </c>
      <c r="K29" s="36">
        <v>12</v>
      </c>
      <c r="L29" s="70">
        <f>IF($B$3="350 Days",Capex!$E$15,IF($B$3="Summer Only",Capex!$E$16,Capex!$E$17))</f>
        <v>35000</v>
      </c>
      <c r="M29" s="70">
        <f t="shared" si="4"/>
        <v>30090.565479070003</v>
      </c>
      <c r="N29" s="71">
        <f>Inputs!$B$6</f>
        <v>1</v>
      </c>
      <c r="O29" s="101">
        <f>1-Inputs!$B$10</f>
        <v>0.98499999999999999</v>
      </c>
      <c r="P29" s="37">
        <f t="shared" si="5"/>
        <v>29639.206996883953</v>
      </c>
      <c r="Q29" s="59" t="b">
        <f t="shared" si="2"/>
        <v>0</v>
      </c>
      <c r="R29" s="59">
        <f t="shared" si="3"/>
        <v>4</v>
      </c>
      <c r="S29" s="37">
        <f t="shared" si="0"/>
        <v>33448.506874999999</v>
      </c>
      <c r="T29" s="140">
        <f>S29/((1+Inputs!$B$38)^(Calculations!A29-Calculations!$A$18))</f>
        <v>11613.682714152104</v>
      </c>
    </row>
    <row r="30" spans="1:20">
      <c r="A30" s="36">
        <v>13</v>
      </c>
      <c r="B30" s="59">
        <v>0</v>
      </c>
      <c r="C30" s="38">
        <f>(IF(AND(A30&lt;=$B$7,Q30=1), $B$18, 0)*0.54)*((1+Inputs!$B$36)^(Calculations!$A30-1))</f>
        <v>0</v>
      </c>
      <c r="D30" s="38">
        <f>(SUMIFS(Capex!$C$3:$C$8,Capex!$A$3:$A$8,Calculations!$B$2)*S30)*((1+Inputs!$B$36)^(Calculations!$A30-1))</f>
        <v>11511515.416457193</v>
      </c>
      <c r="E30" s="38">
        <f>(IF(A30&lt;=$B$7, Inputs!$B$12*Inputs!$B$15*1000, 0))*((1+Inputs!$B$36)^(Calculations!$A30-1))</f>
        <v>322322.22393703711</v>
      </c>
      <c r="F30" s="188">
        <f>IF(Inputs!$B$45="SP15", 'Selected Forward Price'!D30, 'Selected Forward Price'!C188)*S30</f>
        <v>214483.53305990619</v>
      </c>
      <c r="G30" s="38">
        <f t="shared" si="1"/>
        <v>11619354.107334323</v>
      </c>
      <c r="H30" s="39">
        <f>G30/((1+Inputs!$B$38)^(Calculations!A30-Calculations!$A$18))</f>
        <v>3664468.1873942902</v>
      </c>
      <c r="K30" s="36">
        <v>13</v>
      </c>
      <c r="L30" s="70">
        <f>IF($B$3="350 Days",Capex!$E$15,IF($B$3="Summer Only",Capex!$E$16,Capex!$E$17))</f>
        <v>35000</v>
      </c>
      <c r="M30" s="70">
        <f t="shared" si="4"/>
        <v>29639.206996883953</v>
      </c>
      <c r="N30" s="71">
        <f>Inputs!$B$6</f>
        <v>1</v>
      </c>
      <c r="O30" s="101">
        <f>1-Inputs!$B$10</f>
        <v>0.98499999999999999</v>
      </c>
      <c r="P30" s="37">
        <f t="shared" si="5"/>
        <v>29194.618891930695</v>
      </c>
      <c r="Q30" s="59" t="b">
        <f t="shared" si="2"/>
        <v>0</v>
      </c>
      <c r="R30" s="59">
        <f t="shared" si="3"/>
        <v>5</v>
      </c>
      <c r="S30" s="37">
        <f t="shared" si="0"/>
        <v>32946.779271874999</v>
      </c>
      <c r="T30" s="140">
        <f>S30/((1+Inputs!$B$38)^(Calculations!A30-Calculations!$A$18))</f>
        <v>10390.63130391037</v>
      </c>
    </row>
    <row r="31" spans="1:20">
      <c r="A31" s="36">
        <v>14</v>
      </c>
      <c r="B31" s="59">
        <v>0</v>
      </c>
      <c r="C31" s="38">
        <f>(IF(AND(A31&lt;=$B$7,Q31=1), $B$18, 0)*0.54)*((1+Inputs!$B$36)^(Calculations!$A31-1))</f>
        <v>0</v>
      </c>
      <c r="D31" s="38">
        <f>(SUMIFS(Capex!$C$3:$C$8,Capex!$A$3:$A$8,Calculations!$B$2)*S31)*((1+Inputs!$B$36)^(Calculations!$A31-1))</f>
        <v>11581493.918673836</v>
      </c>
      <c r="E31" s="38">
        <f>(IF(A31&lt;=$B$7, Inputs!$B$12*Inputs!$B$15*1000, 0))*((1+Inputs!$B$36)^(Calculations!$A31-1))</f>
        <v>329219.91952928971</v>
      </c>
      <c r="F31" s="188">
        <f>IF(Inputs!$B$45="SP15", 'Selected Forward Price'!D31, 'Selected Forward Price'!C189)*S31</f>
        <v>235281.18747527731</v>
      </c>
      <c r="G31" s="38">
        <f t="shared" si="1"/>
        <v>11675432.650727848</v>
      </c>
      <c r="H31" s="39">
        <f>G31/((1+Inputs!$B$38)^(Calculations!A31-Calculations!$A$18))</f>
        <v>3344550.0454233899</v>
      </c>
      <c r="K31" s="36">
        <v>14</v>
      </c>
      <c r="L31" s="70">
        <f>IF($B$3="350 Days",Capex!$E$15,IF($B$3="Summer Only",Capex!$E$16,Capex!$E$17))</f>
        <v>35000</v>
      </c>
      <c r="M31" s="70">
        <f t="shared" si="4"/>
        <v>29194.618891930695</v>
      </c>
      <c r="N31" s="71">
        <f>Inputs!$B$6</f>
        <v>1</v>
      </c>
      <c r="O31" s="101">
        <f>1-Inputs!$B$10</f>
        <v>0.98499999999999999</v>
      </c>
      <c r="P31" s="37">
        <f t="shared" si="5"/>
        <v>28756.699608551735</v>
      </c>
      <c r="Q31" s="59" t="b">
        <f t="shared" si="2"/>
        <v>0</v>
      </c>
      <c r="R31" s="59">
        <f t="shared" si="3"/>
        <v>6</v>
      </c>
      <c r="S31" s="37">
        <f t="shared" si="0"/>
        <v>32452.577582796872</v>
      </c>
      <c r="T31" s="140">
        <f>S31/((1+Inputs!$B$38)^(Calculations!A31-Calculations!$A$18))</f>
        <v>9296.3809629686839</v>
      </c>
    </row>
    <row r="32" spans="1:20">
      <c r="A32" s="36">
        <v>15</v>
      </c>
      <c r="B32" s="59">
        <v>0</v>
      </c>
      <c r="C32" s="38">
        <f>(IF(AND(A32&lt;=$B$7,Q32=1), $B$18, 0)*0.54)*((1+Inputs!$B$36)^(Calculations!$A32-1))</f>
        <v>0</v>
      </c>
      <c r="D32" s="38">
        <f>(SUMIFS(Capex!$C$3:$C$8,Capex!$A$3:$A$8,Calculations!$B$2)*S32)*((1+Inputs!$B$36)^(Calculations!$A32-1))</f>
        <v>11651897.820205459</v>
      </c>
      <c r="E32" s="38">
        <f>(IF(A32&lt;=$B$7, Inputs!$B$12*Inputs!$B$15*1000, 0))*((1+Inputs!$B$36)^(Calculations!$A32-1))</f>
        <v>336265.2258072166</v>
      </c>
      <c r="F32" s="188">
        <f>IF(Inputs!$B$45="SP15", 'Selected Forward Price'!D32, 'Selected Forward Price'!C190)*S32</f>
        <v>226637.44343609925</v>
      </c>
      <c r="G32" s="38">
        <f t="shared" si="1"/>
        <v>11761525.602576576</v>
      </c>
      <c r="H32" s="39">
        <f>G32/((1+Inputs!$B$38)^(Calculations!A32-Calculations!$A$18))</f>
        <v>3060300.8400148586</v>
      </c>
      <c r="K32" s="36">
        <v>15</v>
      </c>
      <c r="L32" s="70">
        <f>IF($B$3="350 Days",Capex!$E$15,IF($B$3="Summer Only",Capex!$E$16,Capex!$E$17))</f>
        <v>35000</v>
      </c>
      <c r="M32" s="70">
        <f t="shared" si="4"/>
        <v>28756.699608551735</v>
      </c>
      <c r="N32" s="71">
        <f>Inputs!$B$6</f>
        <v>1</v>
      </c>
      <c r="O32" s="101">
        <f>1-Inputs!$B$10</f>
        <v>0.98499999999999999</v>
      </c>
      <c r="P32" s="37">
        <f t="shared" si="5"/>
        <v>28325.349114423458</v>
      </c>
      <c r="Q32" s="59" t="b">
        <f t="shared" si="2"/>
        <v>0</v>
      </c>
      <c r="R32" s="59">
        <f t="shared" si="3"/>
        <v>7</v>
      </c>
      <c r="S32" s="37">
        <f t="shared" si="0"/>
        <v>31965.788919054918</v>
      </c>
      <c r="T32" s="140">
        <f>S32/((1+Inputs!$B$38)^(Calculations!A32-Calculations!$A$18))</f>
        <v>8317.3674900891328</v>
      </c>
    </row>
    <row r="33" spans="1:20">
      <c r="A33" s="36">
        <v>16</v>
      </c>
      <c r="B33" s="59">
        <v>0</v>
      </c>
      <c r="C33" s="38">
        <f>(IF(AND(A33&lt;=$B$7,Q33=1), $B$18, 0)*0.54)*((1+Inputs!$B$36)^(Calculations!$A33-1))</f>
        <v>0</v>
      </c>
      <c r="D33" s="38">
        <f>(SUMIFS(Capex!$C$3:$C$8,Capex!$A$3:$A$8,Calculations!$B$2)*S33)*((1+Inputs!$B$36)^(Calculations!$A33-1))</f>
        <v>11722729.707054486</v>
      </c>
      <c r="E33" s="38">
        <f>(IF(A33&lt;=$B$7, Inputs!$B$12*Inputs!$B$15*1000, 0))*((1+Inputs!$B$36)^(Calculations!$A33-1))</f>
        <v>343461.30163949105</v>
      </c>
      <c r="F33" s="188">
        <f>IF(Inputs!$B$45="SP15", 'Selected Forward Price'!D33, 'Selected Forward Price'!C191)*S33</f>
        <v>233943.22449354935</v>
      </c>
      <c r="G33" s="38">
        <f t="shared" si="1"/>
        <v>11832247.784200428</v>
      </c>
      <c r="H33" s="39">
        <f>G33/((1+Inputs!$B$38)^(Calculations!A33-Calculations!$A$18))</f>
        <v>2796426.8695529704</v>
      </c>
      <c r="K33" s="36">
        <v>16</v>
      </c>
      <c r="L33" s="70">
        <f>IF($B$3="350 Days",Capex!$E$15,IF($B$3="Summer Only",Capex!$E$16,Capex!$E$17))</f>
        <v>35000</v>
      </c>
      <c r="M33" s="70">
        <f t="shared" si="4"/>
        <v>28325.349114423458</v>
      </c>
      <c r="N33" s="71">
        <f>Inputs!$B$6</f>
        <v>1</v>
      </c>
      <c r="O33" s="101">
        <f>1-Inputs!$B$10</f>
        <v>0.98499999999999999</v>
      </c>
      <c r="P33" s="37">
        <f t="shared" si="5"/>
        <v>27900.468877707106</v>
      </c>
      <c r="Q33" s="59" t="b">
        <f t="shared" si="2"/>
        <v>0</v>
      </c>
      <c r="R33" s="59">
        <f t="shared" si="3"/>
        <v>8</v>
      </c>
      <c r="S33" s="37">
        <f t="shared" si="0"/>
        <v>31486.302085269093</v>
      </c>
      <c r="T33" s="140">
        <f>S33/((1+Inputs!$B$38)^(Calculations!A33-Calculations!$A$18))</f>
        <v>7441.4551469823027</v>
      </c>
    </row>
    <row r="34" spans="1:20">
      <c r="A34" s="36">
        <v>17</v>
      </c>
      <c r="B34" s="59">
        <v>0</v>
      </c>
      <c r="C34" s="38">
        <f>(IF(AND(A34&lt;=$B$7,Q34=1), $B$18, 0)*0.54)*((1+Inputs!$B$36)^(Calculations!$A34-1))</f>
        <v>0</v>
      </c>
      <c r="D34" s="38">
        <f>(SUMIFS(Capex!$C$3:$C$8,Capex!$A$3:$A$8,Calculations!$B$2)*S34)*((1+Inputs!$B$36)^(Calculations!$A34-1))</f>
        <v>11793992.180943672</v>
      </c>
      <c r="E34" s="38">
        <f>(IF(A34&lt;=$B$7, Inputs!$B$12*Inputs!$B$15*1000, 0))*((1+Inputs!$B$36)^(Calculations!$A34-1))</f>
        <v>350811.3734945762</v>
      </c>
      <c r="F34" s="188">
        <f>IF(Inputs!$B$45="SP15", 'Selected Forward Price'!D34, 'Selected Forward Price'!C192)*S34</f>
        <v>250593.18103623961</v>
      </c>
      <c r="G34" s="38">
        <f t="shared" si="1"/>
        <v>11894210.373402009</v>
      </c>
      <c r="H34" s="39">
        <f>G34/((1+Inputs!$B$38)^(Calculations!A34-Calculations!$A$18))</f>
        <v>2553333.6781625566</v>
      </c>
      <c r="K34" s="36">
        <v>17</v>
      </c>
      <c r="L34" s="70">
        <f>IF($B$3="350 Days",Capex!$E$15,IF($B$3="Summer Only",Capex!$E$16,Capex!$E$17))</f>
        <v>35000</v>
      </c>
      <c r="M34" s="70">
        <f t="shared" si="4"/>
        <v>27900.468877707106</v>
      </c>
      <c r="N34" s="71">
        <f>Inputs!$B$6</f>
        <v>1</v>
      </c>
      <c r="O34" s="101">
        <f>1-Inputs!$B$10</f>
        <v>0.98499999999999999</v>
      </c>
      <c r="P34" s="37">
        <f t="shared" si="5"/>
        <v>27481.9618445415</v>
      </c>
      <c r="Q34" s="59" t="b">
        <f t="shared" si="2"/>
        <v>0</v>
      </c>
      <c r="R34" s="59">
        <f t="shared" si="3"/>
        <v>9</v>
      </c>
      <c r="S34" s="37">
        <f t="shared" si="0"/>
        <v>31014.007553990057</v>
      </c>
      <c r="T34" s="140">
        <f>S34/((1+Inputs!$B$38)^(Calculations!A34-Calculations!$A$18))</f>
        <v>6657.7862250927137</v>
      </c>
    </row>
    <row r="35" spans="1:20">
      <c r="A35" s="36">
        <v>18</v>
      </c>
      <c r="B35" s="59">
        <v>0</v>
      </c>
      <c r="C35" s="38">
        <f>(IF(AND(A35&lt;=$B$7,Q35=1), $B$18, 0)*0.54)*((1+Inputs!$B$36)^(Calculations!$A35-1))</f>
        <v>5572572.9960722262</v>
      </c>
      <c r="D35" s="38">
        <f>(SUMIFS(Capex!$C$3:$C$8,Capex!$A$3:$A$8,Calculations!$B$2)*S35)*((1+Inputs!$B$36)^(Calculations!$A35-1))</f>
        <v>13594612.877506444</v>
      </c>
      <c r="E35" s="38">
        <f>(IF(A35&lt;=$B$7, Inputs!$B$12*Inputs!$B$15*1000, 0))*((1+Inputs!$B$36)^(Calculations!$A35-1))</f>
        <v>358318.73688736017</v>
      </c>
      <c r="F35" s="188">
        <f>IF(Inputs!$B$45="SP15", 'Selected Forward Price'!D35, 'Selected Forward Price'!C193)*S35</f>
        <v>253750</v>
      </c>
      <c r="G35" s="38">
        <f t="shared" si="1"/>
        <v>19271754.610466033</v>
      </c>
      <c r="H35" s="39">
        <f>G35/((1+Inputs!$B$38)^(Calculations!A35-Calculations!$A$18))</f>
        <v>3757759.3356684148</v>
      </c>
      <c r="K35" s="36">
        <v>18</v>
      </c>
      <c r="L35" s="70">
        <f>IF($B$3="350 Days",Capex!$E$15,IF($B$3="Summer Only",Capex!$E$16,Capex!$E$17))</f>
        <v>35000</v>
      </c>
      <c r="M35" s="70">
        <f t="shared" si="4"/>
        <v>27481.9618445415</v>
      </c>
      <c r="N35" s="71">
        <f>Inputs!$B$6</f>
        <v>1</v>
      </c>
      <c r="O35" s="101">
        <f>1-Inputs!$B$10</f>
        <v>0.98499999999999999</v>
      </c>
      <c r="P35" s="37">
        <f t="shared" si="5"/>
        <v>27069.732416873376</v>
      </c>
      <c r="Q35" s="59">
        <f t="shared" si="2"/>
        <v>1</v>
      </c>
      <c r="R35" s="59">
        <f t="shared" si="3"/>
        <v>1</v>
      </c>
      <c r="S35" s="37">
        <f t="shared" si="0"/>
        <v>35000</v>
      </c>
      <c r="T35" s="140">
        <f>S35/((1+Inputs!$B$38)^(Calculations!A35-Calculations!$A$18))</f>
        <v>6824.5771807912215</v>
      </c>
    </row>
    <row r="36" spans="1:20">
      <c r="A36" s="36">
        <v>19</v>
      </c>
      <c r="B36" s="59">
        <v>0</v>
      </c>
      <c r="C36" s="38">
        <f>(IF(AND(A36&lt;=$B$7,Q36=1), $B$18, 0)*0.54)*((1+Inputs!$B$36)^(Calculations!$A36-1))</f>
        <v>0</v>
      </c>
      <c r="D36" s="38">
        <f>(SUMIFS(Capex!$C$3:$C$8,Capex!$A$3:$A$8,Calculations!$B$2)*S36)*((1+Inputs!$B$36)^(Calculations!$A36-1))</f>
        <v>13677254.529188808</v>
      </c>
      <c r="E36" s="38">
        <f>(IF(A36&lt;=$B$7, Inputs!$B$12*Inputs!$B$15*1000, 0))*((1+Inputs!$B$36)^(Calculations!$A36-1))</f>
        <v>365986.7578567497</v>
      </c>
      <c r="F36" s="188">
        <f>IF(Inputs!$B$45="SP15", 'Selected Forward Price'!D36, 'Selected Forward Price'!C194)*S36</f>
        <v>300621.99999999994</v>
      </c>
      <c r="G36" s="38">
        <f t="shared" si="1"/>
        <v>13742619.287045557</v>
      </c>
      <c r="H36" s="39">
        <f>G36/((1+Inputs!$B$38)^(Calculations!A36-Calculations!$A$18))</f>
        <v>2433957.3735223045</v>
      </c>
      <c r="K36" s="36">
        <v>19</v>
      </c>
      <c r="L36" s="70">
        <f>IF($B$3="350 Days",Capex!$E$15,IF($B$3="Summer Only",Capex!$E$16,Capex!$E$17))</f>
        <v>35000</v>
      </c>
      <c r="M36" s="70">
        <f t="shared" si="4"/>
        <v>27069.732416873376</v>
      </c>
      <c r="N36" s="71">
        <f>Inputs!$B$6</f>
        <v>1</v>
      </c>
      <c r="O36" s="101">
        <f>1-Inputs!$B$10</f>
        <v>0.98499999999999999</v>
      </c>
      <c r="P36" s="37">
        <f t="shared" si="5"/>
        <v>26663.686430620273</v>
      </c>
      <c r="Q36" s="59" t="b">
        <f t="shared" si="2"/>
        <v>0</v>
      </c>
      <c r="R36" s="59">
        <f t="shared" si="3"/>
        <v>2</v>
      </c>
      <c r="S36" s="37">
        <f t="shared" si="0"/>
        <v>34475</v>
      </c>
      <c r="T36" s="140">
        <f>S36/((1+Inputs!$B$38)^(Calculations!A36-Calculations!$A$18))</f>
        <v>6105.872446839855</v>
      </c>
    </row>
    <row r="37" spans="1:20">
      <c r="A37" s="36">
        <v>20</v>
      </c>
      <c r="B37" s="59">
        <v>0</v>
      </c>
      <c r="C37" s="38">
        <f>(IF(AND(A37&lt;=$B$7,Q37=1), $B$18, 0)*0.54)*((1+Inputs!$B$36)^(Calculations!$A37-1))</f>
        <v>0</v>
      </c>
      <c r="D37" s="38">
        <f>(SUMIFS(Capex!$C$3:$C$8,Capex!$A$3:$A$8,Calculations!$B$2)*S37)*((1+Inputs!$B$36)^(Calculations!$A37-1))</f>
        <v>13760398.559471749</v>
      </c>
      <c r="E37" s="38">
        <f>(IF(A37&lt;=$B$7, Inputs!$B$12*Inputs!$B$15*1000, 0))*((1+Inputs!$B$36)^(Calculations!$A37-1))</f>
        <v>373818.87447488419</v>
      </c>
      <c r="F37" s="188">
        <f>IF(Inputs!$B$45="SP15", 'Selected Forward Price'!D37, 'Selected Forward Price'!C195)*S37</f>
        <v>285925.30749999982</v>
      </c>
      <c r="G37" s="38">
        <f t="shared" si="1"/>
        <v>13848292.126446635</v>
      </c>
      <c r="H37" s="39">
        <f>G37/((1+Inputs!$B$38)^(Calculations!A37-Calculations!$A$18))</f>
        <v>2227795.9822053155</v>
      </c>
      <c r="K37" s="36">
        <v>20</v>
      </c>
      <c r="L37" s="70">
        <f>IF($B$3="350 Days",Capex!$E$15,IF($B$3="Summer Only",Capex!$E$16,Capex!$E$17))</f>
        <v>35000</v>
      </c>
      <c r="M37" s="70">
        <f t="shared" si="4"/>
        <v>26663.686430620273</v>
      </c>
      <c r="N37" s="71">
        <f>Inputs!$B$6</f>
        <v>1</v>
      </c>
      <c r="O37" s="101">
        <f>1-Inputs!$B$10</f>
        <v>0.98499999999999999</v>
      </c>
      <c r="P37" s="37">
        <f t="shared" si="5"/>
        <v>26263.731134160967</v>
      </c>
      <c r="Q37" s="59" t="b">
        <f t="shared" si="2"/>
        <v>0</v>
      </c>
      <c r="R37" s="59">
        <f t="shared" si="3"/>
        <v>3</v>
      </c>
      <c r="S37" s="37">
        <f t="shared" si="0"/>
        <v>33957.875</v>
      </c>
      <c r="T37" s="140">
        <f>S37/((1+Inputs!$B$38)^(Calculations!A37-Calculations!$A$18))</f>
        <v>5462.855404729381</v>
      </c>
    </row>
    <row r="38" spans="1:20">
      <c r="A38" s="36">
        <v>21</v>
      </c>
      <c r="B38" s="59">
        <v>0</v>
      </c>
      <c r="C38" s="38">
        <f>(IF(AND(A38&lt;=$B$7,Q38=1), $B$18, 0)*0.54)*((1+Inputs!$B$36)^(Calculations!$A38-1))</f>
        <v>0</v>
      </c>
      <c r="D38" s="38">
        <f>(SUMIFS(Capex!$C$3:$C$8,Capex!$A$3:$A$8,Calculations!$B$2)*S38)*((1+Inputs!$B$36)^(Calculations!$A38-1))</f>
        <v>13844048.022314779</v>
      </c>
      <c r="E38" s="38">
        <f>(IF(A38&lt;=$B$7, Inputs!$B$12*Inputs!$B$15*1000, 0))*((1+Inputs!$B$36)^(Calculations!$A38-1))</f>
        <v>381818.59838864679</v>
      </c>
      <c r="F38" s="188">
        <f>IF(Inputs!$B$45="SP15", 'Selected Forward Price'!D38, 'Selected Forward Price'!C196)*S38</f>
        <v>281301.9428187501</v>
      </c>
      <c r="G38" s="38">
        <f t="shared" si="1"/>
        <v>13944564.677884677</v>
      </c>
      <c r="H38" s="39">
        <f>G38/((1+Inputs!$B$38)^(Calculations!A38-Calculations!$A$18))</f>
        <v>2037604.5813421344</v>
      </c>
      <c r="K38" s="36">
        <v>21</v>
      </c>
      <c r="L38" s="70">
        <f>IF($B$3="350 Days",Capex!$E$15,IF($B$3="Summer Only",Capex!$E$16,Capex!$E$17))</f>
        <v>35000</v>
      </c>
      <c r="M38" s="70">
        <f t="shared" si="4"/>
        <v>26263.731134160967</v>
      </c>
      <c r="N38" s="71">
        <f>Inputs!$B$6</f>
        <v>1</v>
      </c>
      <c r="O38" s="101">
        <f>1-Inputs!$B$10</f>
        <v>0.98499999999999999</v>
      </c>
      <c r="P38" s="37">
        <f t="shared" si="5"/>
        <v>25869.775167148553</v>
      </c>
      <c r="Q38" s="59" t="b">
        <f t="shared" si="2"/>
        <v>0</v>
      </c>
      <c r="R38" s="59">
        <f t="shared" si="3"/>
        <v>4</v>
      </c>
      <c r="S38" s="37">
        <f t="shared" si="0"/>
        <v>33448.506874999999</v>
      </c>
      <c r="T38" s="140">
        <f>S38/((1+Inputs!$B$38)^(Calculations!A38-Calculations!$A$18))</f>
        <v>4887.5552892406704</v>
      </c>
    </row>
    <row r="39" spans="1:20">
      <c r="A39" s="36">
        <v>22</v>
      </c>
      <c r="B39" s="59">
        <v>0</v>
      </c>
      <c r="C39" s="38">
        <f>(IF(AND(A39&lt;=$B$7,Q39=1), $B$18, 0)*0.54)*((1+Inputs!$B$36)^(Calculations!$A39-1))</f>
        <v>0</v>
      </c>
      <c r="D39" s="38">
        <f>(SUMIFS(Capex!$C$3:$C$8,Capex!$A$3:$A$8,Calculations!$B$2)*S39)*((1+Inputs!$B$36)^(Calculations!$A39-1))</f>
        <v>13928205.990242429</v>
      </c>
      <c r="E39" s="38">
        <f>(IF(A39&lt;=$B$7, Inputs!$B$12*Inputs!$B$15*1000, 0))*((1+Inputs!$B$36)^(Calculations!$A39-1))</f>
        <v>389989.51639416383</v>
      </c>
      <c r="F39" s="188">
        <f>IF(Inputs!$B$45="SP15", 'Selected Forward Price'!D39, 'Selected Forward Price'!C197)*S39</f>
        <v>332762.47064593754</v>
      </c>
      <c r="G39" s="38">
        <f t="shared" si="1"/>
        <v>13985433.035990655</v>
      </c>
      <c r="H39" s="39">
        <f>G39/((1+Inputs!$B$38)^(Calculations!A39-Calculations!$A$18))</f>
        <v>1856207.8839602647</v>
      </c>
      <c r="K39" s="36">
        <v>22</v>
      </c>
      <c r="L39" s="70">
        <f>IF($B$3="350 Days",Capex!$E$15,IF($B$3="Summer Only",Capex!$E$16,Capex!$E$17))</f>
        <v>35000</v>
      </c>
      <c r="M39" s="70">
        <f t="shared" si="4"/>
        <v>25869.775167148553</v>
      </c>
      <c r="N39" s="71">
        <f>Inputs!$B$6</f>
        <v>1</v>
      </c>
      <c r="O39" s="101">
        <f>1-Inputs!$B$10</f>
        <v>0.98499999999999999</v>
      </c>
      <c r="P39" s="37">
        <f t="shared" si="5"/>
        <v>25481.728539641324</v>
      </c>
      <c r="Q39" s="59" t="b">
        <f t="shared" si="2"/>
        <v>0</v>
      </c>
      <c r="R39" s="59">
        <f t="shared" si="3"/>
        <v>5</v>
      </c>
      <c r="S39" s="37">
        <f t="shared" si="0"/>
        <v>32946.779271874999</v>
      </c>
      <c r="T39" s="140">
        <f>S39/((1+Inputs!$B$38)^(Calculations!A39-Calculations!$A$18))</f>
        <v>4372.8407463802941</v>
      </c>
    </row>
    <row r="40" spans="1:20">
      <c r="A40" s="36">
        <v>23</v>
      </c>
      <c r="B40" s="59">
        <v>0</v>
      </c>
      <c r="C40" s="38">
        <f>(IF(AND(A40&lt;=$B$7,Q40=1), $B$18, 0)*0.54)*((1+Inputs!$B$36)^(Calculations!$A40-1))</f>
        <v>0</v>
      </c>
      <c r="D40" s="38">
        <f>(SUMIFS(Capex!$C$3:$C$8,Capex!$A$3:$A$8,Calculations!$B$2)*S40)*((1+Inputs!$B$36)^(Calculations!$A40-1))</f>
        <v>14012875.554457117</v>
      </c>
      <c r="E40" s="38">
        <f>(IF(A40&lt;=$B$7, Inputs!$B$12*Inputs!$B$15*1000, 0))*((1+Inputs!$B$36)^(Calculations!$A40-1))</f>
        <v>398335.29204499908</v>
      </c>
      <c r="F40" s="188">
        <f>IF(Inputs!$B$45="SP15", 'Selected Forward Price'!D40, 'Selected Forward Price'!C198)*S40</f>
        <v>306027.8066057745</v>
      </c>
      <c r="G40" s="38">
        <f t="shared" si="1"/>
        <v>14105183.039896341</v>
      </c>
      <c r="H40" s="39">
        <f>G40/((1+Inputs!$B$38)^(Calculations!A40-Calculations!$A$18))</f>
        <v>1700455.0978311726</v>
      </c>
      <c r="K40" s="36">
        <v>23</v>
      </c>
      <c r="L40" s="70">
        <f>IF($B$3="350 Days",Capex!$E$15,IF($B$3="Summer Only",Capex!$E$16,Capex!$E$17))</f>
        <v>35000</v>
      </c>
      <c r="M40" s="70">
        <f t="shared" si="4"/>
        <v>25481.728539641324</v>
      </c>
      <c r="N40" s="71">
        <f>Inputs!$B$6</f>
        <v>1</v>
      </c>
      <c r="O40" s="101">
        <f>1-Inputs!$B$10</f>
        <v>0.98499999999999999</v>
      </c>
      <c r="P40" s="37">
        <f t="shared" si="5"/>
        <v>25099.502611546704</v>
      </c>
      <c r="Q40" s="59" t="b">
        <f t="shared" si="2"/>
        <v>0</v>
      </c>
      <c r="R40" s="59">
        <f t="shared" si="3"/>
        <v>6</v>
      </c>
      <c r="S40" s="37">
        <f t="shared" si="0"/>
        <v>32452.577582796872</v>
      </c>
      <c r="T40" s="140">
        <f>S40/((1+Inputs!$B$38)^(Calculations!A40-Calculations!$A$18))</f>
        <v>3912.3314339375011</v>
      </c>
    </row>
    <row r="41" spans="1:20">
      <c r="A41" s="36">
        <v>24</v>
      </c>
      <c r="B41" s="59">
        <v>0</v>
      </c>
      <c r="C41" s="38">
        <f>(IF(AND(A41&lt;=$B$7,Q41=1), $B$18, 0)*0.54)*((1+Inputs!$B$36)^(Calculations!$A41-1))</f>
        <v>0</v>
      </c>
      <c r="D41" s="38">
        <f>(SUMIFS(Capex!$C$3:$C$8,Capex!$A$3:$A$8,Calculations!$B$2)*S41)*((1+Inputs!$B$36)^(Calculations!$A41-1))</f>
        <v>14098059.824952664</v>
      </c>
      <c r="E41" s="38">
        <f>(IF(A41&lt;=$B$7, Inputs!$B$12*Inputs!$B$15*1000, 0))*((1+Inputs!$B$36)^(Calculations!$A41-1))</f>
        <v>406859.6672947621</v>
      </c>
      <c r="F41" s="188">
        <f>IF(Inputs!$B$45="SP15", 'Selected Forward Price'!D41, 'Selected Forward Price'!C199)*S41</f>
        <v>338517.70465279167</v>
      </c>
      <c r="G41" s="38">
        <f t="shared" si="1"/>
        <v>14166401.787594633</v>
      </c>
      <c r="H41" s="39">
        <f>G41/((1+Inputs!$B$38)^(Calculations!A41-Calculations!$A$18))</f>
        <v>1551249.8219228499</v>
      </c>
      <c r="K41" s="36">
        <v>24</v>
      </c>
      <c r="L41" s="70">
        <f>IF($B$3="350 Days",Capex!$E$15,IF($B$3="Summer Only",Capex!$E$16,Capex!$E$17))</f>
        <v>35000</v>
      </c>
      <c r="M41" s="70">
        <f t="shared" si="4"/>
        <v>25099.502611546704</v>
      </c>
      <c r="N41" s="71">
        <f>Inputs!$B$6</f>
        <v>1</v>
      </c>
      <c r="O41" s="101">
        <f>1-Inputs!$B$10</f>
        <v>0.98499999999999999</v>
      </c>
      <c r="P41" s="37">
        <f t="shared" si="5"/>
        <v>24723.010072373505</v>
      </c>
      <c r="Q41" s="59" t="b">
        <f t="shared" si="2"/>
        <v>0</v>
      </c>
      <c r="R41" s="59">
        <f t="shared" si="3"/>
        <v>7</v>
      </c>
      <c r="S41" s="37">
        <f t="shared" si="0"/>
        <v>31965.788919054918</v>
      </c>
      <c r="T41" s="140">
        <f>S41/((1+Inputs!$B$38)^(Calculations!A41-Calculations!$A$18))</f>
        <v>3500.3189314967822</v>
      </c>
    </row>
    <row r="42" spans="1:20">
      <c r="A42" s="36">
        <v>25</v>
      </c>
      <c r="B42" s="59">
        <v>0</v>
      </c>
      <c r="C42" s="38">
        <f>(IF(AND(A42&lt;=$B$7,Q42=1), $B$18, 0)*0.54)*((1+Inputs!$B$36)^(Calculations!$A42-1))</f>
        <v>0</v>
      </c>
      <c r="D42" s="38">
        <f>(SUMIFS(Capex!$C$3:$C$8,Capex!$A$3:$A$8,Calculations!$B$2)*S42)*((1+Inputs!$B$36)^(Calculations!$A42-1))</f>
        <v>14183761.930628549</v>
      </c>
      <c r="E42" s="38">
        <f>(IF(A42&lt;=$B$7, Inputs!$B$12*Inputs!$B$15*1000, 0))*((1+Inputs!$B$36)^(Calculations!$A42-1))</f>
        <v>415566.46417486999</v>
      </c>
      <c r="F42" s="188">
        <f>IF(Inputs!$B$45="SP15", 'Selected Forward Price'!D42, 'Selected Forward Price'!C200)*S42</f>
        <v>312658.97970672208</v>
      </c>
      <c r="G42" s="38">
        <f t="shared" si="1"/>
        <v>14286669.415096698</v>
      </c>
      <c r="H42" s="39">
        <f>G42/((1+Inputs!$B$38)^(Calculations!A42-Calculations!$A$18))</f>
        <v>1420983.1642585909</v>
      </c>
      <c r="K42" s="36">
        <v>25</v>
      </c>
      <c r="L42" s="70">
        <f>IF($B$3="350 Days",Capex!$E$15,IF($B$3="Summer Only",Capex!$E$16,Capex!$E$17))</f>
        <v>35000</v>
      </c>
      <c r="M42" s="70">
        <f t="shared" si="4"/>
        <v>24723.010072373505</v>
      </c>
      <c r="N42" s="71">
        <f>Inputs!$B$6</f>
        <v>1</v>
      </c>
      <c r="O42" s="101">
        <f>1-Inputs!$B$10</f>
        <v>0.98499999999999999</v>
      </c>
      <c r="P42" s="37">
        <f t="shared" si="5"/>
        <v>24352.164921287902</v>
      </c>
      <c r="Q42" s="59" t="b">
        <f t="shared" si="2"/>
        <v>0</v>
      </c>
      <c r="R42" s="59">
        <f t="shared" si="3"/>
        <v>8</v>
      </c>
      <c r="S42" s="37">
        <f t="shared" si="0"/>
        <v>31486.302085269093</v>
      </c>
      <c r="T42" s="140">
        <f>S42/((1+Inputs!$B$38)^(Calculations!A42-Calculations!$A$18))</f>
        <v>3131.6959795156508</v>
      </c>
    </row>
    <row r="43" spans="1:20">
      <c r="A43" s="36">
        <v>26</v>
      </c>
      <c r="B43" s="59">
        <v>0</v>
      </c>
      <c r="C43" s="38">
        <f>(IF(AND(A43&lt;=$B$7,Q43=1), $B$18, 0)*0.54)*((1+Inputs!$B$36)^(Calculations!$A43-1))</f>
        <v>0</v>
      </c>
      <c r="D43" s="38">
        <f>(SUMIFS(Capex!$C$3:$C$8,Capex!$A$3:$A$8,Calculations!$B$2)*S43)*((1+Inputs!$B$36)^(Calculations!$A43-1))</f>
        <v>14269985.019404843</v>
      </c>
      <c r="E43" s="38">
        <f>(IF(A43&lt;=$B$7, Inputs!$B$12*Inputs!$B$15*1000, 0))*((1+Inputs!$B$36)^(Calculations!$A43-1))</f>
        <v>424459.58650821226</v>
      </c>
      <c r="F43" s="188">
        <f>IF(Inputs!$B$45="SP15", 'Selected Forward Price'!D43, 'Selected Forward Price'!C201)*S43</f>
        <v>330299.18044999405</v>
      </c>
      <c r="G43" s="38">
        <f>IF(A43&lt;=$B$7,(SUM(B43:E43)-F43),0)</f>
        <v>14364145.425463062</v>
      </c>
      <c r="H43" s="39">
        <f>G43/((1+Inputs!$B$38)^(Calculations!A43-Calculations!$A$18))</f>
        <v>1297697.5289334708</v>
      </c>
      <c r="K43" s="36">
        <v>26</v>
      </c>
      <c r="L43" s="70">
        <f>IF($B$3="350 Days",Capex!$E$15,IF($B$3="Summer Only",Capex!$E$16,Capex!$E$17))</f>
        <v>35000</v>
      </c>
      <c r="M43" s="70">
        <f t="shared" si="4"/>
        <v>24352.164921287902</v>
      </c>
      <c r="N43" s="71">
        <f>Inputs!$B$6</f>
        <v>1</v>
      </c>
      <c r="O43" s="101">
        <f>1-Inputs!$B$10</f>
        <v>0.98499999999999999</v>
      </c>
      <c r="P43" s="37">
        <f t="shared" si="5"/>
        <v>23986.882447468583</v>
      </c>
      <c r="Q43" s="59" t="b">
        <f t="shared" si="2"/>
        <v>0</v>
      </c>
      <c r="R43" s="59">
        <f t="shared" si="3"/>
        <v>9</v>
      </c>
      <c r="S43" s="37">
        <f t="shared" si="0"/>
        <v>31014.007553990057</v>
      </c>
      <c r="T43" s="140">
        <f>S43/((1+Inputs!$B$38)^(Calculations!A43-Calculations!$A$18))</f>
        <v>2801.8931703233884</v>
      </c>
    </row>
    <row r="44" spans="1:20">
      <c r="A44" s="36">
        <v>27</v>
      </c>
      <c r="B44" s="59">
        <v>0</v>
      </c>
      <c r="C44" s="38">
        <f>(IF(AND(A44&lt;=$B$7,Q44=1), $B$18, 0)*0.54)*((1+Inputs!$B$36)^(Calculations!$A44-1))</f>
        <v>6742461.0728483591</v>
      </c>
      <c r="D44" s="38">
        <f>(SUMIFS(Capex!$C$3:$C$8,Capex!$A$3:$A$8,Calculations!$B$2)*S44)*((1+Inputs!$B$36)^(Calculations!$A44-1))</f>
        <v>16448622.241760977</v>
      </c>
      <c r="E44" s="38">
        <f>(IF(A44&lt;=$B$7, Inputs!$B$12*Inputs!$B$15*1000, 0))*((1+Inputs!$B$36)^(Calculations!$A44-1))</f>
        <v>433543.02165948803</v>
      </c>
      <c r="F44" s="188">
        <f>IF(Inputs!$B$45="SP15", 'Selected Forward Price'!D44, 'Selected Forward Price'!C202)*S44</f>
        <v>359800.00000000006</v>
      </c>
      <c r="G44" s="38">
        <f t="shared" si="1"/>
        <v>23264826.336268824</v>
      </c>
      <c r="H44" s="39">
        <f>G44/((1+Inputs!$B$38)^(Calculations!A44-Calculations!$A$18))</f>
        <v>1909102.501481314</v>
      </c>
      <c r="K44" s="36">
        <v>27</v>
      </c>
      <c r="L44" s="70">
        <f>IF($B$3="350 Days",Capex!$E$15,IF($B$3="Summer Only",Capex!$E$16,Capex!$E$17))</f>
        <v>35000</v>
      </c>
      <c r="M44" s="70">
        <f t="shared" si="4"/>
        <v>23986.882447468583</v>
      </c>
      <c r="N44" s="71">
        <f>Inputs!$B$6</f>
        <v>1</v>
      </c>
      <c r="O44" s="101">
        <f>1-Inputs!$B$10</f>
        <v>0.98499999999999999</v>
      </c>
      <c r="P44" s="37">
        <f t="shared" si="5"/>
        <v>23627.079210756554</v>
      </c>
      <c r="Q44" s="59">
        <f t="shared" si="2"/>
        <v>1</v>
      </c>
      <c r="R44" s="59">
        <f t="shared" si="3"/>
        <v>1</v>
      </c>
      <c r="S44" s="37">
        <f t="shared" si="0"/>
        <v>35000</v>
      </c>
      <c r="T44" s="140">
        <f>S44/((1+Inputs!$B$38)^(Calculations!A44-Calculations!$A$18))</f>
        <v>2872.0862380854655</v>
      </c>
    </row>
    <row r="45" spans="1:20">
      <c r="A45" s="36">
        <v>28</v>
      </c>
      <c r="B45" s="59">
        <v>0</v>
      </c>
      <c r="C45" s="38">
        <f>(IF(AND(A45&lt;=$B$7,Q45=1), $B$18, 0)*0.54)*((1+Inputs!$B$36)^(Calculations!$A45-1))</f>
        <v>0</v>
      </c>
      <c r="D45" s="38">
        <f>(SUMIFS(Capex!$C$3:$C$8,Capex!$A$3:$A$8,Calculations!$B$2)*S45)*((1+Inputs!$B$36)^(Calculations!$A45-1))</f>
        <v>16548613.416368643</v>
      </c>
      <c r="E45" s="38">
        <f>(IF(A45&lt;=$B$7, Inputs!$B$12*Inputs!$B$15*1000, 0))*((1+Inputs!$B$36)^(Calculations!$A45-1))</f>
        <v>442820.84232300112</v>
      </c>
      <c r="F45" s="188">
        <f>IF(Inputs!$B$45="SP15", 'Selected Forward Price'!D45, 'Selected Forward Price'!C203)*S45</f>
        <v>395083.50000000006</v>
      </c>
      <c r="G45" s="38">
        <f>IF(A45&lt;=$B$7,(SUM(B45:E45)-F45),0)</f>
        <v>16596350.758691642</v>
      </c>
      <c r="H45" s="39">
        <f>G45/((1+Inputs!$B$38)^(Calculations!A45-Calculations!$A$18))</f>
        <v>1237023.0268257381</v>
      </c>
      <c r="K45" s="36">
        <v>28</v>
      </c>
      <c r="L45" s="70">
        <f>IF($B$3="350 Days",Capex!$E$15,IF($B$3="Summer Only",Capex!$E$16,Capex!$E$17))</f>
        <v>35000</v>
      </c>
      <c r="M45" s="70">
        <f t="shared" si="4"/>
        <v>23627.079210756554</v>
      </c>
      <c r="N45" s="71">
        <f>Inputs!$B$6</f>
        <v>1</v>
      </c>
      <c r="O45" s="101">
        <f>1-Inputs!$B$10</f>
        <v>0.98499999999999999</v>
      </c>
      <c r="P45" s="37">
        <f t="shared" si="5"/>
        <v>23272.673022595205</v>
      </c>
      <c r="Q45" s="59" t="b">
        <f t="shared" si="2"/>
        <v>0</v>
      </c>
      <c r="R45" s="59">
        <f t="shared" si="3"/>
        <v>2</v>
      </c>
      <c r="S45" s="37">
        <f t="shared" si="0"/>
        <v>34475</v>
      </c>
      <c r="T45" s="140">
        <f>S45/((1+Inputs!$B$38)^(Calculations!A45-Calculations!$A$18))</f>
        <v>2569.6232545267867</v>
      </c>
    </row>
    <row r="46" spans="1:20">
      <c r="A46" s="36">
        <v>29</v>
      </c>
      <c r="B46" s="59">
        <v>0</v>
      </c>
      <c r="C46" s="38">
        <f>(IF(AND(A46&lt;=$B$7,Q46=1), $B$18, 0)*0.54)*((1+Inputs!$B$36)^(Calculations!$A46-1))</f>
        <v>0</v>
      </c>
      <c r="D46" s="38">
        <f>(SUMIFS(Capex!$C$3:$C$8,Capex!$A$3:$A$8,Calculations!$B$2)*S46)*((1+Inputs!$B$36)^(Calculations!$A46-1))</f>
        <v>16649212.437326752</v>
      </c>
      <c r="E46" s="38">
        <f>(IF(A46&lt;=$B$7, Inputs!$B$12*Inputs!$B$15*1000, 0))*((1+Inputs!$B$36)^(Calculations!$A46-1))</f>
        <v>452297.20834871347</v>
      </c>
      <c r="F46" s="188">
        <f>IF(Inputs!$B$45="SP15", 'Selected Forward Price'!D46, 'Selected Forward Price'!C204)*S46</f>
        <v>391194.72000000009</v>
      </c>
      <c r="G46" s="38">
        <f t="shared" si="1"/>
        <v>16710314.925675465</v>
      </c>
      <c r="H46" s="39">
        <f>G46/((1+Inputs!$B$38)^(Calculations!A46-Calculations!$A$18))</f>
        <v>1131320.2509147692</v>
      </c>
      <c r="K46" s="36">
        <v>29</v>
      </c>
      <c r="L46" s="70">
        <f>IF($B$3="350 Days",Capex!$E$15,IF($B$3="Summer Only",Capex!$E$16,Capex!$E$17))</f>
        <v>35000</v>
      </c>
      <c r="M46" s="70">
        <f t="shared" si="4"/>
        <v>23272.673022595205</v>
      </c>
      <c r="N46" s="71">
        <f>Inputs!$B$6</f>
        <v>1</v>
      </c>
      <c r="O46" s="101">
        <f>1-Inputs!$B$10</f>
        <v>0.98499999999999999</v>
      </c>
      <c r="P46" s="37">
        <f t="shared" si="5"/>
        <v>22923.582927256277</v>
      </c>
      <c r="Q46" s="59" t="b">
        <f t="shared" si="2"/>
        <v>0</v>
      </c>
      <c r="R46" s="59">
        <f t="shared" si="3"/>
        <v>3</v>
      </c>
      <c r="S46" s="37">
        <f t="shared" si="0"/>
        <v>33957.875</v>
      </c>
      <c r="T46" s="140">
        <f>S46/((1+Inputs!$B$38)^(Calculations!A46-Calculations!$A$18))</f>
        <v>2299.0130249732242</v>
      </c>
    </row>
    <row r="47" spans="1:20" ht="15" thickBot="1">
      <c r="A47" s="40">
        <v>30</v>
      </c>
      <c r="B47" s="60">
        <v>0</v>
      </c>
      <c r="C47" s="42">
        <f>(IF(AND(A47&lt;=$B$7,Q47=1), $B$18, 0)*0.54)*((1+Inputs!$B$36)^(Calculations!$A47-1))</f>
        <v>0</v>
      </c>
      <c r="D47" s="42">
        <f>(SUMIFS(Capex!$C$3:$C$8,Capex!$A$3:$A$8,Calculations!$B$2)*S47)*((1+Inputs!$B$36)^(Calculations!$A47-1))</f>
        <v>16750422.999733258</v>
      </c>
      <c r="E47" s="42">
        <f>(IF(A47&lt;=$B$7, Inputs!$B$12*Inputs!$B$15*1000, 0))*((1+Inputs!$B$36)^(Calculations!$A47-1))</f>
        <v>461976.36860737583</v>
      </c>
      <c r="F47" s="192">
        <f>IF(Inputs!$B$45="SP15", 'Selected Forward Price'!D47, 'Selected Forward Price'!C205)*S47</f>
        <v>0</v>
      </c>
      <c r="G47" s="42">
        <f t="shared" si="1"/>
        <v>17212399.368340634</v>
      </c>
      <c r="H47" s="43">
        <f>G47/((1+Inputs!$B$38)^(Calculations!A47-Calculations!$A$18))</f>
        <v>1058468.865617068</v>
      </c>
      <c r="K47" s="40">
        <v>30</v>
      </c>
      <c r="L47" s="72">
        <f>IF($B$3="350 Days",Capex!$E$15,IF($B$3="Summer Only",Capex!$E$16,Capex!$E$17))</f>
        <v>35000</v>
      </c>
      <c r="M47" s="72">
        <f>P46</f>
        <v>22923.582927256277</v>
      </c>
      <c r="N47" s="73">
        <f>Inputs!$B$6</f>
        <v>1</v>
      </c>
      <c r="O47" s="102">
        <f>1-Inputs!$B$10</f>
        <v>0.98499999999999999</v>
      </c>
      <c r="P47" s="41">
        <f t="shared" si="5"/>
        <v>22579.729183347434</v>
      </c>
      <c r="Q47" s="60" t="b">
        <f t="shared" si="2"/>
        <v>0</v>
      </c>
      <c r="R47" s="60">
        <f t="shared" si="3"/>
        <v>4</v>
      </c>
      <c r="S47" s="41">
        <f t="shared" si="0"/>
        <v>33448.506874999999</v>
      </c>
      <c r="T47" s="141">
        <f>S47/((1+Inputs!$B$38)^(Calculations!A47-Calculations!$A$18))</f>
        <v>2056.901096176407</v>
      </c>
    </row>
    <row r="48" spans="1:20" ht="15" thickBot="1">
      <c r="A48" s="63" t="s">
        <v>63</v>
      </c>
      <c r="B48" s="64"/>
      <c r="C48" s="64"/>
      <c r="D48" s="64"/>
      <c r="E48" s="64"/>
      <c r="F48" s="189"/>
      <c r="G48" s="64">
        <f>SUM(G18:G47)</f>
        <v>401770396.94530541</v>
      </c>
      <c r="H48" s="65">
        <f>SUM(H18:H47)</f>
        <v>125123700.6623036</v>
      </c>
      <c r="K48" s="204" t="s">
        <v>61</v>
      </c>
      <c r="L48" s="205"/>
      <c r="M48" s="205"/>
      <c r="N48" s="205"/>
      <c r="O48" s="205"/>
      <c r="P48" s="205"/>
      <c r="Q48" s="205"/>
      <c r="R48" s="205"/>
      <c r="S48" s="206">
        <f>SUM(S18:S47)</f>
        <v>996107.88618496759</v>
      </c>
      <c r="T48" s="206">
        <f>SUM(T18:T47)</f>
        <v>344120.12357370573</v>
      </c>
    </row>
    <row r="49" spans="1:7" ht="15" thickBot="1">
      <c r="F49" s="190"/>
    </row>
    <row r="50" spans="1:7" ht="16" thickBot="1">
      <c r="A50" s="258" t="s">
        <v>81</v>
      </c>
      <c r="B50" s="259"/>
      <c r="C50" s="259"/>
      <c r="D50" s="260"/>
      <c r="F50" s="154"/>
      <c r="G50" s="153"/>
    </row>
    <row r="51" spans="1:7" ht="15" thickBot="1">
      <c r="A51" s="63" t="s">
        <v>45</v>
      </c>
      <c r="B51" s="66" t="s">
        <v>73</v>
      </c>
      <c r="C51" s="66" t="s">
        <v>72</v>
      </c>
      <c r="D51" s="67" t="s">
        <v>75</v>
      </c>
    </row>
    <row r="52" spans="1:7">
      <c r="A52" s="36">
        <v>1</v>
      </c>
      <c r="B52" s="57">
        <f>H18</f>
        <v>17020750</v>
      </c>
      <c r="C52" s="37">
        <f>S18</f>
        <v>35000</v>
      </c>
      <c r="D52" s="58">
        <f>B52/C52</f>
        <v>486.30714285714288</v>
      </c>
    </row>
    <row r="53" spans="1:7">
      <c r="A53" s="36">
        <v>2</v>
      </c>
      <c r="B53" s="57">
        <f t="shared" ref="B53:B81" si="6">H19</f>
        <v>8948826.8371019978</v>
      </c>
      <c r="C53" s="37">
        <f t="shared" ref="C53:C81" si="7">S19</f>
        <v>34475</v>
      </c>
      <c r="D53" s="58">
        <f t="shared" ref="D53:D81" si="8">B53/C53</f>
        <v>259.57438251202313</v>
      </c>
    </row>
    <row r="54" spans="1:7">
      <c r="A54" s="36">
        <v>3</v>
      </c>
      <c r="B54" s="57">
        <f t="shared" si="6"/>
        <v>8169112.025429111</v>
      </c>
      <c r="C54" s="37">
        <f t="shared" si="7"/>
        <v>33957.875</v>
      </c>
      <c r="D54" s="58">
        <f t="shared" si="8"/>
        <v>240.56605501460592</v>
      </c>
    </row>
    <row r="55" spans="1:7">
      <c r="A55" s="36">
        <v>4</v>
      </c>
      <c r="B55" s="57">
        <f t="shared" si="6"/>
        <v>7469337.4036357868</v>
      </c>
      <c r="C55" s="37">
        <f t="shared" si="7"/>
        <v>33448.506874999999</v>
      </c>
      <c r="D55" s="58">
        <f t="shared" si="8"/>
        <v>223.30854502861234</v>
      </c>
    </row>
    <row r="56" spans="1:7">
      <c r="A56" s="36">
        <v>5</v>
      </c>
      <c r="B56" s="57">
        <f t="shared" si="6"/>
        <v>6816932.0516399052</v>
      </c>
      <c r="C56" s="37">
        <f t="shared" si="7"/>
        <v>32946.779271874999</v>
      </c>
      <c r="D56" s="58">
        <f t="shared" si="8"/>
        <v>206.9073882878493</v>
      </c>
    </row>
    <row r="57" spans="1:7">
      <c r="A57" s="36">
        <v>6</v>
      </c>
      <c r="B57" s="57">
        <f t="shared" si="6"/>
        <v>6207926.1128136544</v>
      </c>
      <c r="C57" s="37">
        <f t="shared" si="7"/>
        <v>32452.577582796872</v>
      </c>
      <c r="D57" s="58">
        <f t="shared" si="8"/>
        <v>191.29223547729777</v>
      </c>
    </row>
    <row r="58" spans="1:7">
      <c r="A58" s="36">
        <v>7</v>
      </c>
      <c r="B58" s="57">
        <f t="shared" si="6"/>
        <v>5647572.8620412285</v>
      </c>
      <c r="C58" s="37">
        <f t="shared" si="7"/>
        <v>31965.788919054918</v>
      </c>
      <c r="D58" s="58">
        <f t="shared" si="8"/>
        <v>176.67553509604423</v>
      </c>
    </row>
    <row r="59" spans="1:7">
      <c r="A59" s="36">
        <v>8</v>
      </c>
      <c r="B59" s="57">
        <f t="shared" si="6"/>
        <v>5152128.1928690886</v>
      </c>
      <c r="C59" s="37">
        <f t="shared" si="7"/>
        <v>31486.302085269093</v>
      </c>
      <c r="D59" s="58">
        <f t="shared" si="8"/>
        <v>163.63078074130269</v>
      </c>
    </row>
    <row r="60" spans="1:7">
      <c r="A60" s="36">
        <v>9</v>
      </c>
      <c r="B60" s="57">
        <f t="shared" si="6"/>
        <v>7414373.4768633181</v>
      </c>
      <c r="C60" s="37">
        <f t="shared" si="7"/>
        <v>35000</v>
      </c>
      <c r="D60" s="58">
        <f t="shared" si="8"/>
        <v>211.8392421960948</v>
      </c>
    </row>
    <row r="61" spans="1:7">
      <c r="A61" s="36">
        <v>10</v>
      </c>
      <c r="B61" s="57">
        <f t="shared" si="6"/>
        <v>4824940.3141045002</v>
      </c>
      <c r="C61" s="37">
        <f t="shared" si="7"/>
        <v>34475</v>
      </c>
      <c r="D61" s="58">
        <f t="shared" si="8"/>
        <v>139.9547589297897</v>
      </c>
    </row>
    <row r="62" spans="1:7">
      <c r="A62" s="36">
        <v>11</v>
      </c>
      <c r="B62" s="57">
        <f t="shared" si="6"/>
        <v>4406012.0787568735</v>
      </c>
      <c r="C62" s="37">
        <f t="shared" si="7"/>
        <v>33957.875</v>
      </c>
      <c r="D62" s="58">
        <f t="shared" si="8"/>
        <v>129.74934617542687</v>
      </c>
    </row>
    <row r="63" spans="1:7">
      <c r="A63" s="36">
        <v>12</v>
      </c>
      <c r="B63" s="57">
        <f t="shared" si="6"/>
        <v>4007084.2720166808</v>
      </c>
      <c r="C63" s="37">
        <f t="shared" si="7"/>
        <v>33448.506874999999</v>
      </c>
      <c r="D63" s="58">
        <f t="shared" si="8"/>
        <v>119.79859929148724</v>
      </c>
    </row>
    <row r="64" spans="1:7">
      <c r="A64" s="36">
        <v>13</v>
      </c>
      <c r="B64" s="57">
        <f t="shared" si="6"/>
        <v>3664468.1873942902</v>
      </c>
      <c r="C64" s="37">
        <f t="shared" si="7"/>
        <v>32946.779271874999</v>
      </c>
      <c r="D64" s="58">
        <f t="shared" si="8"/>
        <v>111.2238667444639</v>
      </c>
    </row>
    <row r="65" spans="1:4">
      <c r="A65" s="36">
        <v>14</v>
      </c>
      <c r="B65" s="57">
        <f t="shared" si="6"/>
        <v>3344550.0454233899</v>
      </c>
      <c r="C65" s="37">
        <f t="shared" si="7"/>
        <v>32452.577582796872</v>
      </c>
      <c r="D65" s="58">
        <f t="shared" si="8"/>
        <v>103.05961173316284</v>
      </c>
    </row>
    <row r="66" spans="1:4">
      <c r="A66" s="36">
        <v>15</v>
      </c>
      <c r="B66" s="57">
        <f t="shared" si="6"/>
        <v>3060300.8400148586</v>
      </c>
      <c r="C66" s="37">
        <f t="shared" si="7"/>
        <v>31965.788919054918</v>
      </c>
      <c r="D66" s="58">
        <f t="shared" si="8"/>
        <v>95.736753056972191</v>
      </c>
    </row>
    <row r="67" spans="1:4">
      <c r="A67" s="36">
        <v>16</v>
      </c>
      <c r="B67" s="57">
        <f t="shared" si="6"/>
        <v>2796426.8695529704</v>
      </c>
      <c r="C67" s="37">
        <f t="shared" si="7"/>
        <v>31486.302085269093</v>
      </c>
      <c r="D67" s="58">
        <f t="shared" si="8"/>
        <v>88.814077371800423</v>
      </c>
    </row>
    <row r="68" spans="1:4">
      <c r="A68" s="36">
        <v>17</v>
      </c>
      <c r="B68" s="57">
        <f t="shared" si="6"/>
        <v>2553333.6781625566</v>
      </c>
      <c r="C68" s="37">
        <f t="shared" si="7"/>
        <v>31014.007553990057</v>
      </c>
      <c r="D68" s="58">
        <f t="shared" si="8"/>
        <v>82.328401891230641</v>
      </c>
    </row>
    <row r="69" spans="1:4">
      <c r="A69" s="36">
        <v>18</v>
      </c>
      <c r="B69" s="57">
        <f t="shared" si="6"/>
        <v>3757759.3356684148</v>
      </c>
      <c r="C69" s="37">
        <f t="shared" si="7"/>
        <v>35000</v>
      </c>
      <c r="D69" s="58">
        <f t="shared" si="8"/>
        <v>107.364552447669</v>
      </c>
    </row>
    <row r="70" spans="1:4">
      <c r="A70" s="36">
        <v>19</v>
      </c>
      <c r="B70" s="57">
        <f t="shared" si="6"/>
        <v>2433957.3735223045</v>
      </c>
      <c r="C70" s="37">
        <f t="shared" si="7"/>
        <v>34475</v>
      </c>
      <c r="D70" s="58">
        <f t="shared" si="8"/>
        <v>70.600648978166916</v>
      </c>
    </row>
    <row r="71" spans="1:4">
      <c r="A71" s="36">
        <v>20</v>
      </c>
      <c r="B71" s="57">
        <f t="shared" si="6"/>
        <v>2227795.9822053155</v>
      </c>
      <c r="C71" s="37">
        <f t="shared" si="7"/>
        <v>33957.875</v>
      </c>
      <c r="D71" s="58">
        <f t="shared" si="8"/>
        <v>65.604693527063034</v>
      </c>
    </row>
    <row r="72" spans="1:4">
      <c r="A72" s="36">
        <v>21</v>
      </c>
      <c r="B72" s="57">
        <f t="shared" si="6"/>
        <v>2037604.5813421344</v>
      </c>
      <c r="C72" s="37">
        <f t="shared" si="7"/>
        <v>33448.506874999999</v>
      </c>
      <c r="D72" s="58">
        <f t="shared" si="8"/>
        <v>60.91765438011452</v>
      </c>
    </row>
    <row r="73" spans="1:4">
      <c r="A73" s="36">
        <v>22</v>
      </c>
      <c r="B73" s="57">
        <f t="shared" si="6"/>
        <v>1856207.8839602647</v>
      </c>
      <c r="C73" s="37">
        <f t="shared" si="7"/>
        <v>32946.779271874999</v>
      </c>
      <c r="D73" s="58">
        <f t="shared" si="8"/>
        <v>56.339585385355576</v>
      </c>
    </row>
    <row r="74" spans="1:4">
      <c r="A74" s="36">
        <v>23</v>
      </c>
      <c r="B74" s="57">
        <f t="shared" si="6"/>
        <v>1700455.0978311726</v>
      </c>
      <c r="C74" s="37">
        <f t="shared" si="7"/>
        <v>32452.577582796872</v>
      </c>
      <c r="D74" s="58">
        <f t="shared" si="8"/>
        <v>52.398152149633404</v>
      </c>
    </row>
    <row r="75" spans="1:4">
      <c r="A75" s="36">
        <v>24</v>
      </c>
      <c r="B75" s="57">
        <f t="shared" si="6"/>
        <v>1551249.8219228499</v>
      </c>
      <c r="C75" s="37">
        <f t="shared" si="7"/>
        <v>31965.788919054918</v>
      </c>
      <c r="D75" s="58">
        <f t="shared" si="8"/>
        <v>48.528438508149705</v>
      </c>
    </row>
    <row r="76" spans="1:4">
      <c r="A76" s="36">
        <v>25</v>
      </c>
      <c r="B76" s="57">
        <f t="shared" si="6"/>
        <v>1420983.1642585909</v>
      </c>
      <c r="C76" s="37">
        <f t="shared" si="7"/>
        <v>31486.302085269093</v>
      </c>
      <c r="D76" s="58">
        <f t="shared" si="8"/>
        <v>45.130201711537275</v>
      </c>
    </row>
    <row r="77" spans="1:4">
      <c r="A77" s="36">
        <v>26</v>
      </c>
      <c r="B77" s="57">
        <f t="shared" si="6"/>
        <v>1297697.5289334708</v>
      </c>
      <c r="C77" s="37">
        <f t="shared" si="7"/>
        <v>31014.007553990057</v>
      </c>
      <c r="D77" s="58">
        <f t="shared" si="8"/>
        <v>41.84230389040831</v>
      </c>
    </row>
    <row r="78" spans="1:4">
      <c r="A78" s="36">
        <v>27</v>
      </c>
      <c r="B78" s="57">
        <f t="shared" si="6"/>
        <v>1909102.501481314</v>
      </c>
      <c r="C78" s="37">
        <f t="shared" si="7"/>
        <v>35000</v>
      </c>
      <c r="D78" s="58">
        <f t="shared" si="8"/>
        <v>54.545785756608971</v>
      </c>
    </row>
    <row r="79" spans="1:4">
      <c r="A79" s="36">
        <v>28</v>
      </c>
      <c r="B79" s="57">
        <f t="shared" si="6"/>
        <v>1237023.0268257381</v>
      </c>
      <c r="C79" s="37">
        <f t="shared" si="7"/>
        <v>34475</v>
      </c>
      <c r="D79" s="58">
        <f t="shared" si="8"/>
        <v>35.881741169709592</v>
      </c>
    </row>
    <row r="80" spans="1:4">
      <c r="A80" s="36">
        <v>29</v>
      </c>
      <c r="B80" s="57">
        <f t="shared" si="6"/>
        <v>1131320.2509147692</v>
      </c>
      <c r="C80" s="37">
        <f t="shared" si="7"/>
        <v>33957.875</v>
      </c>
      <c r="D80" s="58">
        <f t="shared" si="8"/>
        <v>33.315401829907472</v>
      </c>
    </row>
    <row r="81" spans="1:4" ht="15" thickBot="1">
      <c r="A81" s="40">
        <v>30</v>
      </c>
      <c r="B81" s="61">
        <f t="shared" si="6"/>
        <v>1058468.865617068</v>
      </c>
      <c r="C81" s="41">
        <f t="shared" si="7"/>
        <v>33448.506874999999</v>
      </c>
      <c r="D81" s="62">
        <f t="shared" si="8"/>
        <v>31.644726910311988</v>
      </c>
    </row>
  </sheetData>
  <sheetProtection algorithmName="SHA-512" hashValue="nexuFIZ1CrMoLU6HbkZ2dNZteoi78fQkKn4dOE+SiQWeNl2Ll67M8EMb0WQNy6aqGVOFC3/FsaH2t9EP+IWo+Q==" saltValue="l4bGrSBQnriwgpLn4lo7Og==" spinCount="100000" sheet="1" objects="1" scenarios="1"/>
  <mergeCells count="5">
    <mergeCell ref="A16:H16"/>
    <mergeCell ref="A9:B9"/>
    <mergeCell ref="A1:B1"/>
    <mergeCell ref="K16:S16"/>
    <mergeCell ref="A50:D50"/>
  </mergeCell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27ECF-9289-4A1E-B414-A8825CB12F6B}">
  <sheetPr>
    <tabColor theme="0" tint="-0.249977111117893"/>
  </sheetPr>
  <dimension ref="A1:Z37"/>
  <sheetViews>
    <sheetView workbookViewId="0">
      <selection activeCell="B24" sqref="B24"/>
    </sheetView>
  </sheetViews>
  <sheetFormatPr defaultColWidth="8.81640625" defaultRowHeight="12"/>
  <cols>
    <col min="1" max="1" width="19.6328125" style="1" customWidth="1"/>
    <col min="2" max="2" width="17.81640625" style="1" bestFit="1" customWidth="1"/>
    <col min="3" max="3" width="10.453125" style="1" bestFit="1" customWidth="1"/>
    <col min="4" max="4" width="13.1796875" style="1" bestFit="1" customWidth="1"/>
    <col min="5" max="5" width="10.1796875" style="1" bestFit="1" customWidth="1"/>
    <col min="6" max="6" width="7" style="1" bestFit="1" customWidth="1"/>
    <col min="7" max="7" width="7.453125" style="1" customWidth="1"/>
    <col min="8" max="8" width="4.453125" style="1" bestFit="1" customWidth="1"/>
    <col min="9" max="9" width="6.81640625" style="1" bestFit="1" customWidth="1"/>
    <col min="10" max="10" width="7.453125" style="1" customWidth="1"/>
    <col min="11" max="11" width="8.453125" style="1" bestFit="1" customWidth="1"/>
    <col min="12" max="12" width="6.453125" style="1" bestFit="1" customWidth="1"/>
    <col min="13" max="13" width="8.1796875" style="1" bestFit="1" customWidth="1"/>
    <col min="14" max="14" width="7.81640625" style="1" bestFit="1" customWidth="1"/>
    <col min="15" max="16384" width="8.81640625" style="1"/>
  </cols>
  <sheetData>
    <row r="1" spans="1:26" ht="16" thickBot="1">
      <c r="A1" s="261" t="s">
        <v>24</v>
      </c>
      <c r="B1" s="262"/>
      <c r="C1" s="262"/>
      <c r="D1" s="263"/>
    </row>
    <row r="2" spans="1:26" ht="42" customHeight="1" thickBot="1">
      <c r="A2" s="103" t="s">
        <v>87</v>
      </c>
      <c r="B2" s="104" t="s">
        <v>127</v>
      </c>
      <c r="C2" s="104" t="s">
        <v>128</v>
      </c>
      <c r="D2" s="104" t="s">
        <v>37</v>
      </c>
      <c r="E2" s="105" t="s">
        <v>136</v>
      </c>
      <c r="G2" s="4"/>
      <c r="H2" s="107"/>
      <c r="I2" s="107"/>
      <c r="J2" s="108"/>
      <c r="K2" s="109"/>
      <c r="L2" s="109"/>
      <c r="M2" s="109"/>
      <c r="N2" s="7"/>
      <c r="O2" s="7"/>
      <c r="P2" s="110"/>
    </row>
    <row r="3" spans="1:26" ht="14.5">
      <c r="A3" s="77" t="s">
        <v>14</v>
      </c>
      <c r="B3" s="216">
        <v>288</v>
      </c>
      <c r="C3" s="217">
        <f>271</f>
        <v>271</v>
      </c>
      <c r="D3" s="218">
        <f>IF(Inputs!$B$6=1, 'Lifetime Cycles'!B3, IF(Inputs!$B$6=0.9, 'Lifetime Cycles'!C3, 'Lifetime Cycles'!D3))</f>
        <v>3250</v>
      </c>
      <c r="E3" s="219">
        <f>(D3*Inputs!$B$15)/$E$15</f>
        <v>2.3214285714285716</v>
      </c>
      <c r="G3" s="152"/>
      <c r="H3" s="153" t="s">
        <v>122</v>
      </c>
      <c r="I3" s="7"/>
      <c r="J3" s="111"/>
      <c r="K3" s="49"/>
      <c r="L3" s="49"/>
      <c r="M3" s="49"/>
      <c r="N3" s="7"/>
      <c r="O3" s="7"/>
      <c r="P3" s="7"/>
    </row>
    <row r="4" spans="1:26" ht="14.5">
      <c r="A4" s="80" t="s">
        <v>65</v>
      </c>
      <c r="B4" s="220">
        <v>350</v>
      </c>
      <c r="C4" s="221">
        <v>555</v>
      </c>
      <c r="D4" s="222">
        <f>IF(Inputs!$B$6=1, 'Lifetime Cycles'!B4, IF(Inputs!$B$6=0.9, 'Lifetime Cycles'!C4, 'Lifetime Cycles'!D4))</f>
        <v>8272</v>
      </c>
      <c r="E4" s="223">
        <f>(D4*Inputs!$B$15)/$E$15</f>
        <v>5.9085714285714284</v>
      </c>
      <c r="G4" s="5"/>
      <c r="H4" s="7"/>
      <c r="I4" s="7"/>
      <c r="J4" s="111"/>
      <c r="K4" s="49"/>
      <c r="L4" s="49"/>
      <c r="M4" s="49"/>
      <c r="N4" s="7"/>
      <c r="O4" s="7"/>
      <c r="P4" s="7"/>
    </row>
    <row r="5" spans="1:26" ht="14.5">
      <c r="A5" s="80" t="s">
        <v>66</v>
      </c>
      <c r="B5" s="220">
        <v>350</v>
      </c>
      <c r="C5" s="221">
        <v>260</v>
      </c>
      <c r="D5" s="222">
        <f>IF(Inputs!$B$6=1, 'Lifetime Cycles'!B5, IF(Inputs!$B$6=0.9, 'Lifetime Cycles'!C5, 'Lifetime Cycles'!D5))</f>
        <v>1225</v>
      </c>
      <c r="E5" s="223">
        <f>(D5*Inputs!$B$15)/$E$15</f>
        <v>0.875</v>
      </c>
      <c r="G5" s="5"/>
      <c r="H5" s="7"/>
      <c r="I5" s="7"/>
      <c r="J5" s="111"/>
      <c r="K5" s="49"/>
      <c r="L5" s="49"/>
      <c r="M5" s="49"/>
      <c r="N5" s="7"/>
      <c r="O5" s="7"/>
      <c r="P5" s="7"/>
    </row>
    <row r="6" spans="1:26" ht="14.5">
      <c r="A6" s="80" t="s">
        <v>67</v>
      </c>
      <c r="B6" s="220">
        <v>350</v>
      </c>
      <c r="C6" s="221">
        <v>661</v>
      </c>
      <c r="D6" s="222">
        <f>IF(Inputs!$B$6=1, 'Lifetime Cycles'!B6, IF(Inputs!$B$6=0.9, 'Lifetime Cycles'!C6, 'Lifetime Cycles'!D6))</f>
        <v>4098</v>
      </c>
      <c r="E6" s="223">
        <f>(D6*Inputs!$B$15)/$E$15</f>
        <v>2.927142857142857</v>
      </c>
      <c r="G6" s="5"/>
      <c r="H6" s="7"/>
      <c r="I6" s="7"/>
      <c r="J6" s="111"/>
      <c r="K6" s="49"/>
      <c r="L6" s="49"/>
      <c r="M6" s="49"/>
      <c r="N6" s="7"/>
      <c r="O6" s="7"/>
      <c r="P6" s="7"/>
    </row>
    <row r="7" spans="1:26" ht="14.5">
      <c r="A7" s="80" t="s">
        <v>68</v>
      </c>
      <c r="B7" s="220">
        <v>350</v>
      </c>
      <c r="C7" s="221">
        <v>700</v>
      </c>
      <c r="D7" s="222">
        <f>IF(Inputs!$B$6=1, 'Lifetime Cycles'!B7, IF(Inputs!$B$6=0.9, 'Lifetime Cycles'!C7, 'Lifetime Cycles'!D7))</f>
        <v>2800</v>
      </c>
      <c r="E7" s="223">
        <f>(D7*Inputs!$B$15)/$E$15</f>
        <v>2</v>
      </c>
      <c r="G7" s="5"/>
      <c r="H7" s="7"/>
      <c r="I7" s="7"/>
      <c r="J7" s="111"/>
      <c r="K7" s="49"/>
      <c r="L7" s="49"/>
      <c r="M7" s="49"/>
      <c r="N7" s="7"/>
      <c r="O7" s="7"/>
      <c r="P7" s="7"/>
    </row>
    <row r="8" spans="1:26" ht="15" thickBot="1">
      <c r="A8" s="83" t="s">
        <v>69</v>
      </c>
      <c r="B8" s="224">
        <v>350</v>
      </c>
      <c r="C8" s="225">
        <v>265</v>
      </c>
      <c r="D8" s="226">
        <f>IF(Inputs!$B$6=1, 'Lifetime Cycles'!B8, IF(Inputs!$B$6=0.9, 'Lifetime Cycles'!C8, 'Lifetime Cycles'!D8))</f>
        <v>2800</v>
      </c>
      <c r="E8" s="227">
        <f>(D8*Inputs!$B$15)/$E$15</f>
        <v>2</v>
      </c>
      <c r="G8" s="5"/>
      <c r="H8" s="7"/>
      <c r="I8" s="7"/>
      <c r="J8" s="111"/>
      <c r="K8" s="49"/>
      <c r="L8" s="49"/>
      <c r="M8" s="49"/>
      <c r="N8" s="7"/>
      <c r="O8" s="7"/>
      <c r="P8" s="7"/>
    </row>
    <row r="9" spans="1:26" ht="13">
      <c r="A9" s="146" t="s">
        <v>117</v>
      </c>
      <c r="C9" s="7"/>
      <c r="D9" s="7"/>
      <c r="E9" s="7"/>
      <c r="H9" s="7"/>
      <c r="I9" s="7"/>
      <c r="J9" s="7"/>
      <c r="K9" s="7"/>
      <c r="L9" s="7"/>
      <c r="M9" s="7"/>
      <c r="N9" s="7"/>
      <c r="O9" s="7"/>
      <c r="P9" s="7"/>
    </row>
    <row r="10" spans="1:26" ht="13">
      <c r="A10" s="106" t="s">
        <v>89</v>
      </c>
      <c r="C10" s="7"/>
      <c r="D10" s="7"/>
      <c r="E10" s="7"/>
    </row>
    <row r="11" spans="1:26">
      <c r="C11" s="7"/>
      <c r="D11" s="7"/>
      <c r="E11" s="7"/>
    </row>
    <row r="12" spans="1:26">
      <c r="C12" s="7"/>
      <c r="D12" s="7"/>
      <c r="E12" s="7"/>
    </row>
    <row r="13" spans="1:26">
      <c r="C13" s="7"/>
      <c r="D13" s="7"/>
      <c r="E13" s="7"/>
    </row>
    <row r="14" spans="1:26" hidden="1">
      <c r="B14" s="1" t="s">
        <v>27</v>
      </c>
      <c r="C14" s="8" t="s">
        <v>33</v>
      </c>
      <c r="D14" s="8" t="s">
        <v>44</v>
      </c>
      <c r="E14" s="8" t="s">
        <v>32</v>
      </c>
    </row>
    <row r="15" spans="1:26" hidden="1">
      <c r="B15" s="1" t="s">
        <v>28</v>
      </c>
      <c r="C15" s="48">
        <v>350</v>
      </c>
      <c r="D15" s="48">
        <f>Inputs!$B$15*Inputs!$B$17</f>
        <v>100</v>
      </c>
      <c r="E15" s="49">
        <f>C15*D15</f>
        <v>35000</v>
      </c>
    </row>
    <row r="16" spans="1:26" hidden="1">
      <c r="C16" s="8">
        <f>30+62+30</f>
        <v>122</v>
      </c>
      <c r="D16" s="48">
        <f>Inputs!$B$15*Inputs!$B$17</f>
        <v>100</v>
      </c>
      <c r="E16" s="49">
        <f>C16*D16</f>
        <v>12200</v>
      </c>
      <c r="Z16" s="1">
        <v>0.49507613684120583</v>
      </c>
    </row>
    <row r="17" spans="3:26" ht="11.5" hidden="1" customHeight="1">
      <c r="C17" s="8">
        <f>30+31+31+28+31</f>
        <v>151</v>
      </c>
      <c r="D17" s="48">
        <f>Inputs!$B$15*Inputs!$B$17</f>
        <v>100</v>
      </c>
      <c r="E17" s="49">
        <f>C17*D17</f>
        <v>15100</v>
      </c>
      <c r="Z17" s="1">
        <v>0.32214890006902597</v>
      </c>
    </row>
    <row r="34" spans="2:2">
      <c r="B34" s="7"/>
    </row>
    <row r="35" spans="2:2">
      <c r="B35" s="7"/>
    </row>
    <row r="36" spans="2:2" s="7" customFormat="1">
      <c r="B36" s="1"/>
    </row>
    <row r="37" spans="2:2" s="7" customFormat="1">
      <c r="B37" s="1"/>
    </row>
  </sheetData>
  <mergeCells count="1">
    <mergeCell ref="A1:D1"/>
  </mergeCells>
  <phoneticPr fontId="5" type="noConversion"/>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E60C3-F5A3-423A-BA96-FACA9EA0C017}">
  <sheetPr>
    <tabColor theme="0" tint="-0.249977111117893"/>
  </sheetPr>
  <dimension ref="A1:E11"/>
  <sheetViews>
    <sheetView workbookViewId="0">
      <selection activeCell="B3" sqref="B3"/>
    </sheetView>
  </sheetViews>
  <sheetFormatPr defaultColWidth="8.81640625" defaultRowHeight="14.5"/>
  <cols>
    <col min="1" max="1" width="20.453125" customWidth="1"/>
  </cols>
  <sheetData>
    <row r="1" spans="1:5" ht="16" thickBot="1">
      <c r="A1" s="261" t="s">
        <v>38</v>
      </c>
      <c r="B1" s="262"/>
      <c r="C1" s="262"/>
      <c r="D1" s="263"/>
      <c r="E1" s="150"/>
    </row>
    <row r="2" spans="1:5" ht="15" thickBot="1">
      <c r="A2" s="74" t="s">
        <v>82</v>
      </c>
      <c r="B2" s="75">
        <v>1</v>
      </c>
      <c r="C2" s="75">
        <v>0.9</v>
      </c>
      <c r="D2" s="76">
        <v>0.8</v>
      </c>
      <c r="E2" s="150" t="s">
        <v>118</v>
      </c>
    </row>
    <row r="3" spans="1:5">
      <c r="A3" s="77" t="s">
        <v>14</v>
      </c>
      <c r="B3" s="78">
        <v>3250</v>
      </c>
      <c r="C3" s="78">
        <v>4875</v>
      </c>
      <c r="D3" s="79">
        <v>6297</v>
      </c>
      <c r="E3" s="148">
        <v>1</v>
      </c>
    </row>
    <row r="4" spans="1:5">
      <c r="A4" s="80" t="s">
        <v>65</v>
      </c>
      <c r="B4" s="81">
        <v>8272</v>
      </c>
      <c r="C4" s="81">
        <v>8272</v>
      </c>
      <c r="D4" s="82">
        <v>8272</v>
      </c>
      <c r="E4" s="148">
        <v>1</v>
      </c>
    </row>
    <row r="5" spans="1:5">
      <c r="A5" s="80" t="s">
        <v>66</v>
      </c>
      <c r="B5" s="81">
        <v>1225</v>
      </c>
      <c r="C5" s="81">
        <v>1336</v>
      </c>
      <c r="D5" s="82">
        <v>1501</v>
      </c>
      <c r="E5" s="148">
        <v>1</v>
      </c>
    </row>
    <row r="6" spans="1:5">
      <c r="A6" s="80" t="s">
        <v>67</v>
      </c>
      <c r="B6" s="81">
        <v>4098</v>
      </c>
      <c r="C6" s="81">
        <v>4131</v>
      </c>
      <c r="D6" s="82">
        <v>4193</v>
      </c>
      <c r="E6" s="148">
        <v>1</v>
      </c>
    </row>
    <row r="7" spans="1:5">
      <c r="A7" s="80" t="s">
        <v>68</v>
      </c>
      <c r="B7" s="81">
        <f>D7*0.8</f>
        <v>2800</v>
      </c>
      <c r="C7" s="81">
        <f>B7/0.9</f>
        <v>3111.1111111111109</v>
      </c>
      <c r="D7" s="82">
        <v>3500</v>
      </c>
      <c r="E7" s="148">
        <v>2</v>
      </c>
    </row>
    <row r="8" spans="1:5" ht="15" thickBot="1">
      <c r="A8" s="83" t="s">
        <v>69</v>
      </c>
      <c r="B8" s="84">
        <f>D8*0.8</f>
        <v>2800</v>
      </c>
      <c r="C8" s="84">
        <f>B8/0.9</f>
        <v>3111.1111111111109</v>
      </c>
      <c r="D8" s="85">
        <v>3500</v>
      </c>
      <c r="E8" s="149">
        <v>2</v>
      </c>
    </row>
    <row r="9" spans="1:5">
      <c r="A9" s="112" t="s">
        <v>120</v>
      </c>
    </row>
    <row r="10" spans="1:5">
      <c r="A10" s="106" t="s">
        <v>119</v>
      </c>
    </row>
    <row r="11" spans="1:5">
      <c r="A11" s="106" t="s">
        <v>121</v>
      </c>
    </row>
  </sheetData>
  <mergeCells count="1">
    <mergeCell ref="A1:D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99E73-C3F2-438D-A77F-07BE81F97FCE}">
  <sheetPr>
    <tabColor theme="0" tint="-0.249977111117893"/>
  </sheetPr>
  <dimension ref="A1:D7"/>
  <sheetViews>
    <sheetView workbookViewId="0">
      <selection activeCell="E17" sqref="E17"/>
    </sheetView>
  </sheetViews>
  <sheetFormatPr defaultColWidth="8.81640625" defaultRowHeight="14.5"/>
  <cols>
    <col min="1" max="1" width="21" customWidth="1"/>
    <col min="3" max="3" width="11.453125" customWidth="1"/>
    <col min="4" max="4" width="11.81640625" customWidth="1"/>
  </cols>
  <sheetData>
    <row r="1" spans="1:4" ht="16" thickBot="1">
      <c r="A1" s="86" t="s">
        <v>25</v>
      </c>
    </row>
    <row r="2" spans="1:4" ht="15" thickBot="1">
      <c r="A2" s="114" t="s">
        <v>83</v>
      </c>
      <c r="B2" s="115" t="s">
        <v>33</v>
      </c>
      <c r="C2" s="115" t="s">
        <v>44</v>
      </c>
      <c r="D2" s="116" t="s">
        <v>32</v>
      </c>
    </row>
    <row r="3" spans="1:4">
      <c r="A3" s="87" t="s">
        <v>26</v>
      </c>
      <c r="B3" s="88">
        <v>350</v>
      </c>
      <c r="C3" s="88">
        <f>Inputs!$B$15*Inputs!$B$17</f>
        <v>100</v>
      </c>
      <c r="D3" s="89">
        <f>B3*C3</f>
        <v>35000</v>
      </c>
    </row>
    <row r="4" spans="1:4">
      <c r="A4" s="90" t="s">
        <v>27</v>
      </c>
      <c r="B4" s="91">
        <f>30+62+30</f>
        <v>122</v>
      </c>
      <c r="C4" s="92">
        <f>Inputs!$B$15*Inputs!$B$17</f>
        <v>100</v>
      </c>
      <c r="D4" s="93">
        <f>B4*C4</f>
        <v>12200</v>
      </c>
    </row>
    <row r="5" spans="1:4" ht="15" thickBot="1">
      <c r="A5" s="94" t="s">
        <v>28</v>
      </c>
      <c r="B5" s="95">
        <f>30+31+31+28+31</f>
        <v>151</v>
      </c>
      <c r="C5" s="96">
        <f>Inputs!$B$15*Inputs!$B$17</f>
        <v>100</v>
      </c>
      <c r="D5" s="97">
        <f>B5*C5</f>
        <v>15100</v>
      </c>
    </row>
    <row r="6" spans="1:4">
      <c r="A6" s="113" t="s">
        <v>90</v>
      </c>
    </row>
    <row r="7" spans="1:4">
      <c r="A7"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F2B2-BE91-4E22-9F35-17D2A6C71729}">
  <sheetPr>
    <tabColor theme="0" tint="-0.249977111117893"/>
  </sheetPr>
  <dimension ref="A1:AF47"/>
  <sheetViews>
    <sheetView workbookViewId="0">
      <selection activeCell="D14" sqref="D14"/>
    </sheetView>
  </sheetViews>
  <sheetFormatPr defaultColWidth="8.81640625" defaultRowHeight="14.5"/>
  <cols>
    <col min="2" max="2" width="30.36328125" bestFit="1" customWidth="1"/>
    <col min="3" max="3" width="11" bestFit="1" customWidth="1"/>
  </cols>
  <sheetData>
    <row r="1" spans="1:32">
      <c r="A1" s="122" t="s">
        <v>109</v>
      </c>
    </row>
    <row r="2" spans="1:32">
      <c r="A2" s="123" t="s">
        <v>83</v>
      </c>
      <c r="B2" s="124" t="str">
        <f>Inputs!B47</f>
        <v>Base/Base</v>
      </c>
    </row>
    <row r="3" spans="1:32" ht="15" thickBot="1">
      <c r="A3" s="123"/>
      <c r="B3" s="124"/>
    </row>
    <row r="4" spans="1:32" ht="15" thickBot="1">
      <c r="B4" s="63" t="s">
        <v>45</v>
      </c>
      <c r="C4" s="66">
        <f>'Forward Price Ratios'!C5</f>
        <v>1</v>
      </c>
      <c r="D4" s="66">
        <f>'Forward Price Ratios'!D5</f>
        <v>2</v>
      </c>
      <c r="E4" s="66">
        <f>'Forward Price Ratios'!E5</f>
        <v>3</v>
      </c>
      <c r="F4" s="66">
        <f>'Forward Price Ratios'!F5</f>
        <v>4</v>
      </c>
      <c r="G4" s="66">
        <f>'Forward Price Ratios'!G5</f>
        <v>5</v>
      </c>
      <c r="H4" s="66">
        <f>'Forward Price Ratios'!H5</f>
        <v>6</v>
      </c>
      <c r="I4" s="66">
        <f>'Forward Price Ratios'!I5</f>
        <v>7</v>
      </c>
      <c r="J4" s="66">
        <f>'Forward Price Ratios'!J5</f>
        <v>8</v>
      </c>
      <c r="K4" s="66">
        <f>'Forward Price Ratios'!K5</f>
        <v>9</v>
      </c>
      <c r="L4" s="66">
        <f>'Forward Price Ratios'!L5</f>
        <v>10</v>
      </c>
      <c r="M4" s="66">
        <f>'Forward Price Ratios'!M5</f>
        <v>11</v>
      </c>
      <c r="N4" s="66">
        <f>'Forward Price Ratios'!N5</f>
        <v>12</v>
      </c>
      <c r="O4" s="66">
        <f>'Forward Price Ratios'!O5</f>
        <v>13</v>
      </c>
      <c r="P4" s="66">
        <f>'Forward Price Ratios'!P5</f>
        <v>14</v>
      </c>
      <c r="Q4" s="66">
        <f>'Forward Price Ratios'!Q5</f>
        <v>15</v>
      </c>
      <c r="R4" s="66">
        <f>'Forward Price Ratios'!R5</f>
        <v>16</v>
      </c>
      <c r="S4" s="66">
        <f>'Forward Price Ratios'!S5</f>
        <v>17</v>
      </c>
      <c r="T4" s="66">
        <f>'Forward Price Ratios'!T5</f>
        <v>18</v>
      </c>
      <c r="U4" s="66">
        <f>'Forward Price Ratios'!U5</f>
        <v>19</v>
      </c>
      <c r="V4" s="66">
        <f>'Forward Price Ratios'!V5</f>
        <v>20</v>
      </c>
      <c r="W4" s="66">
        <f>'Forward Price Ratios'!W5</f>
        <v>21</v>
      </c>
      <c r="X4" s="66">
        <f>'Forward Price Ratios'!X5</f>
        <v>22</v>
      </c>
      <c r="Y4" s="66">
        <f>'Forward Price Ratios'!Y5</f>
        <v>23</v>
      </c>
      <c r="Z4" s="66">
        <f>'Forward Price Ratios'!Z5</f>
        <v>24</v>
      </c>
      <c r="AA4" s="66">
        <f>'Forward Price Ratios'!AA5</f>
        <v>25</v>
      </c>
      <c r="AB4" s="66">
        <f>'Forward Price Ratios'!AB5</f>
        <v>26</v>
      </c>
      <c r="AC4" s="66">
        <f>'Forward Price Ratios'!AC5</f>
        <v>27</v>
      </c>
      <c r="AD4" s="66">
        <f>'Forward Price Ratios'!AD5</f>
        <v>28</v>
      </c>
      <c r="AE4" s="67">
        <f>'Forward Price Ratios'!AE5</f>
        <v>29</v>
      </c>
    </row>
    <row r="5" spans="1:32">
      <c r="B5" s="51" t="s">
        <v>40</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0"/>
    </row>
    <row r="6" spans="1:32">
      <c r="B6" s="36" t="s">
        <v>91</v>
      </c>
      <c r="C6" s="57">
        <f>-(IF($B$2="Base/Base",'Forward Price Ratios'!C27,IF($B$2="High/Low",'Forward Price Ratios'!C31,IF($B$2="Low/High",'Forward Price Ratios'!C35))))</f>
        <v>-2.7399999999999984</v>
      </c>
      <c r="D6" s="57">
        <f>-(IF($B$2="Base/Base",'Forward Price Ratios'!D27,IF($B$2="High/Low",'Forward Price Ratios'!D31,IF($B$2="Low/High",'Forward Price Ratios'!D35))))</f>
        <v>-1.8000000000000007</v>
      </c>
      <c r="E6" s="57">
        <f>-(IF($B$2="Base/Base",'Forward Price Ratios'!E27,IF($B$2="High/Low",'Forward Price Ratios'!E31,IF($B$2="Low/High",'Forward Price Ratios'!E35))))</f>
        <v>-1.5</v>
      </c>
      <c r="F6" s="57">
        <f>-(IF($B$2="Base/Base",'Forward Price Ratios'!F27,IF($B$2="High/Low",'Forward Price Ratios'!F31,IF($B$2="Low/High",'Forward Price Ratios'!F35))))</f>
        <v>-1.9400000000000013</v>
      </c>
      <c r="G6" s="57">
        <f>-(IF($B$2="Base/Base",'Forward Price Ratios'!G27,IF($B$2="High/Low",'Forward Price Ratios'!G31,IF($B$2="Low/High",'Forward Price Ratios'!G35))))</f>
        <v>-1.4600000000000009</v>
      </c>
      <c r="H6" s="57">
        <f>-(IF($B$2="Base/Base",'Forward Price Ratios'!H27,IF($B$2="High/Low",'Forward Price Ratios'!H31,IF($B$2="Low/High",'Forward Price Ratios'!H35))))</f>
        <v>-0.4199999999999946</v>
      </c>
      <c r="I6" s="57">
        <f>-(IF($B$2="Base/Base",'Forward Price Ratios'!I27,IF($B$2="High/Low",'Forward Price Ratios'!I31,IF($B$2="Low/High",'Forward Price Ratios'!I35))))</f>
        <v>0.98999999999999488</v>
      </c>
      <c r="J6" s="57">
        <f>-(IF($B$2="Base/Base",'Forward Price Ratios'!J27,IF($B$2="High/Low",'Forward Price Ratios'!J31,IF($B$2="Low/High",'Forward Price Ratios'!J35))))</f>
        <v>1.4600000000000009</v>
      </c>
      <c r="K6" s="57">
        <f>-(IF($B$2="Base/Base",'Forward Price Ratios'!K27,IF($B$2="High/Low",'Forward Price Ratios'!K31,IF($B$2="Low/High",'Forward Price Ratios'!K35))))</f>
        <v>2.740000000000002</v>
      </c>
      <c r="L6" s="57">
        <f>-(IF($B$2="Base/Base",'Forward Price Ratios'!L27,IF($B$2="High/Low",'Forward Price Ratios'!L31,IF($B$2="Low/High",'Forward Price Ratios'!L35))))</f>
        <v>2.8200000000000003</v>
      </c>
      <c r="M6" s="57">
        <f>-(IF($B$2="Base/Base",'Forward Price Ratios'!M27,IF($B$2="High/Low",'Forward Price Ratios'!M31,IF($B$2="Low/High",'Forward Price Ratios'!M35))))</f>
        <v>3.3599999999999994</v>
      </c>
      <c r="N6" s="57">
        <f>-(IF($B$2="Base/Base",'Forward Price Ratios'!N27,IF($B$2="High/Low",'Forward Price Ratios'!N31,IF($B$2="Low/High",'Forward Price Ratios'!N35))))</f>
        <v>4.9100000000000037</v>
      </c>
      <c r="O6" s="57">
        <f>-(IF($B$2="Base/Base",'Forward Price Ratios'!O27,IF($B$2="High/Low",'Forward Price Ratios'!O31,IF($B$2="Low/High",'Forward Price Ratios'!O35))))</f>
        <v>5.0600000000000023</v>
      </c>
      <c r="P6" s="57">
        <f>-(IF($B$2="Base/Base",'Forward Price Ratios'!P27,IF($B$2="High/Low",'Forward Price Ratios'!P31,IF($B$2="Low/High",'Forward Price Ratios'!P35))))</f>
        <v>5.75</v>
      </c>
      <c r="Q6" s="57">
        <f>-(IF($B$2="Base/Base",'Forward Price Ratios'!Q27,IF($B$2="High/Low",'Forward Price Ratios'!Q31,IF($B$2="Low/High",'Forward Price Ratios'!Q35))))</f>
        <v>5.6400000000000006</v>
      </c>
      <c r="R6" s="57">
        <f>-(IF($B$2="Base/Base",'Forward Price Ratios'!R27,IF($B$2="High/Low",'Forward Price Ratios'!R31,IF($B$2="Low/High",'Forward Price Ratios'!R35))))</f>
        <v>5.6599999999999966</v>
      </c>
      <c r="S6" s="57">
        <f>-(IF($B$2="Base/Base",'Forward Price Ratios'!S27,IF($B$2="High/Low",'Forward Price Ratios'!S31,IF($B$2="Low/High",'Forward Price Ratios'!S35))))</f>
        <v>6.6599999999999966</v>
      </c>
      <c r="T6" s="57">
        <f>-(IF($B$2="Base/Base",'Forward Price Ratios'!T27,IF($B$2="High/Low",'Forward Price Ratios'!T31,IF($B$2="Low/High",'Forward Price Ratios'!T35))))</f>
        <v>5.5200000000000031</v>
      </c>
      <c r="U6" s="57">
        <f>-(IF($B$2="Base/Base",'Forward Price Ratios'!U27,IF($B$2="High/Low",'Forward Price Ratios'!U31,IF($B$2="Low/High",'Forward Price Ratios'!U35))))</f>
        <v>7.3100000000000023</v>
      </c>
      <c r="V6" s="57">
        <f>-(IF($B$2="Base/Base",'Forward Price Ratios'!V27,IF($B$2="High/Low",'Forward Price Ratios'!V31,IF($B$2="Low/High",'Forward Price Ratios'!V35))))</f>
        <v>6.2199999999999989</v>
      </c>
      <c r="W6" s="57">
        <f>-(IF($B$2="Base/Base",'Forward Price Ratios'!W27,IF($B$2="High/Low",'Forward Price Ratios'!W31,IF($B$2="Low/High",'Forward Price Ratios'!W35))))</f>
        <v>6.9799999999999969</v>
      </c>
      <c r="X6" s="57">
        <f>-(IF($B$2="Base/Base",'Forward Price Ratios'!X27,IF($B$2="High/Low",'Forward Price Ratios'!X31,IF($B$2="Low/High",'Forward Price Ratios'!X35))))</f>
        <v>8.1000000000000014</v>
      </c>
      <c r="Y6" s="57">
        <f>-(IF($B$2="Base/Base",'Forward Price Ratios'!Y27,IF($B$2="High/Low",'Forward Price Ratios'!Y31,IF($B$2="Low/High",'Forward Price Ratios'!Y35))))</f>
        <v>7.6299999999999955</v>
      </c>
      <c r="Z6" s="57">
        <f>-(IF($B$2="Base/Base",'Forward Price Ratios'!Z27,IF($B$2="High/Low",'Forward Price Ratios'!Z31,IF($B$2="Low/High",'Forward Price Ratios'!Z35))))</f>
        <v>8.36</v>
      </c>
      <c r="AA6" s="57">
        <f>-(IF($B$2="Base/Base",'Forward Price Ratios'!AA27,IF($B$2="High/Low",'Forward Price Ratios'!AA31,IF($B$2="Low/High",'Forward Price Ratios'!AA35))))</f>
        <v>7.8100000000000023</v>
      </c>
      <c r="AB6" s="57">
        <f>-(IF($B$2="Base/Base",'Forward Price Ratios'!AB27,IF($B$2="High/Low",'Forward Price Ratios'!AB31,IF($B$2="Low/High",'Forward Price Ratios'!AB35))))</f>
        <v>8.3800000000000026</v>
      </c>
      <c r="AC6" s="57">
        <f>-(IF($B$2="Base/Base",'Forward Price Ratios'!AC27,IF($B$2="High/Low",'Forward Price Ratios'!AC31,IF($B$2="Low/High",'Forward Price Ratios'!AC35))))</f>
        <v>7.9899999999999949</v>
      </c>
      <c r="AD6" s="57">
        <f>-(IF($B$2="Base/Base",'Forward Price Ratios'!AD27,IF($B$2="High/Low",'Forward Price Ratios'!AD31,IF($B$2="Low/High",'Forward Price Ratios'!AD35))))</f>
        <v>9.1199999999999974</v>
      </c>
      <c r="AE6" s="57">
        <f>-(IF($B$2="Base/Base",'Forward Price Ratios'!AE27,IF($B$2="High/Low",'Forward Price Ratios'!AE31,IF($B$2="Low/High",'Forward Price Ratios'!AE35))))</f>
        <v>9.2299999999999969</v>
      </c>
    </row>
    <row r="7" spans="1:32">
      <c r="B7" s="36" t="s">
        <v>92</v>
      </c>
      <c r="C7" s="70">
        <v>42000</v>
      </c>
      <c r="D7" s="70">
        <f>C7*(1-Inputs!$B$10)</f>
        <v>41370</v>
      </c>
      <c r="E7" s="70">
        <f>D7*(1-Inputs!$B$10)</f>
        <v>40749.449999999997</v>
      </c>
      <c r="F7" s="70">
        <f>E7*(1-Inputs!$B$10)</f>
        <v>40138.208249999996</v>
      </c>
      <c r="G7" s="70">
        <f>F7*(1-Inputs!$B$10)</f>
        <v>39536.135126249996</v>
      </c>
      <c r="H7" s="70">
        <f>G7*(1-Inputs!$B$10)</f>
        <v>38943.093099356243</v>
      </c>
      <c r="I7" s="70">
        <f>H7*(1-Inputs!$B$10)</f>
        <v>38358.946702865898</v>
      </c>
      <c r="J7" s="70">
        <f>I7*(1-Inputs!$B$10)</f>
        <v>37783.562502322908</v>
      </c>
      <c r="K7" s="70">
        <f>J7*(1-Inputs!$B$10)</f>
        <v>37216.809064788067</v>
      </c>
      <c r="L7" s="70">
        <f>K7*(1-Inputs!$B$10)</f>
        <v>36658.556928816244</v>
      </c>
      <c r="M7" s="70">
        <f>L7*(1-Inputs!$B$10)</f>
        <v>36108.678574883997</v>
      </c>
      <c r="N7" s="70">
        <f>M7*(1-Inputs!$B$10)</f>
        <v>35567.04839626074</v>
      </c>
      <c r="O7" s="70">
        <f>N7*(1-Inputs!$B$10)</f>
        <v>35033.542670316827</v>
      </c>
      <c r="P7" s="70">
        <f>O7*(1-Inputs!$B$10)</f>
        <v>34508.039530262075</v>
      </c>
      <c r="Q7" s="70">
        <f>P7*(1-Inputs!$B$10)</f>
        <v>33990.418937308146</v>
      </c>
      <c r="R7" s="70">
        <f>Q7*(1-Inputs!$B$10)</f>
        <v>33480.562653248526</v>
      </c>
      <c r="S7" s="70">
        <f>R7*(1-Inputs!$B$10)</f>
        <v>32978.354213449798</v>
      </c>
      <c r="T7" s="70">
        <f>S7*(1-Inputs!$B$10)</f>
        <v>32483.678900248051</v>
      </c>
      <c r="U7" s="70">
        <f>T7*(1-Inputs!$B$10)</f>
        <v>31996.423716744328</v>
      </c>
      <c r="V7" s="70">
        <f>U7*(1-Inputs!$B$10)</f>
        <v>31516.477360993162</v>
      </c>
      <c r="W7" s="70">
        <f>V7*(1-Inputs!$B$10)</f>
        <v>31043.730200578262</v>
      </c>
      <c r="X7" s="70">
        <f>W7*(1-Inputs!$B$10)</f>
        <v>30578.074247569588</v>
      </c>
      <c r="Y7" s="70">
        <f>X7*(1-Inputs!$B$10)</f>
        <v>30119.403133856045</v>
      </c>
      <c r="Z7" s="70">
        <f>Y7*(1-Inputs!$B$10)</f>
        <v>29667.612086848203</v>
      </c>
      <c r="AA7" s="70">
        <f>Z7*(1-Inputs!$B$10)</f>
        <v>29222.597905545481</v>
      </c>
      <c r="AB7" s="70">
        <f>AA7*(1-Inputs!$B$10)</f>
        <v>28784.258936962298</v>
      </c>
      <c r="AC7" s="70">
        <f>AB7*(1-Inputs!$B$10)</f>
        <v>28352.495052907863</v>
      </c>
      <c r="AD7" s="70">
        <f>AC7*(1-Inputs!$B$10)</f>
        <v>27927.207627114243</v>
      </c>
      <c r="AE7" s="70">
        <f>AD7*(1-Inputs!$B$10)</f>
        <v>27508.29951270753</v>
      </c>
      <c r="AF7" s="117"/>
    </row>
    <row r="8" spans="1:32" ht="15" thickBot="1">
      <c r="B8" s="40" t="s">
        <v>93</v>
      </c>
      <c r="C8" s="42">
        <f t="shared" ref="C8:AE8" si="0">C7*C6</f>
        <v>-115079.99999999993</v>
      </c>
      <c r="D8" s="42">
        <f t="shared" si="0"/>
        <v>-74466.000000000029</v>
      </c>
      <c r="E8" s="42">
        <f t="shared" si="0"/>
        <v>-61124.174999999996</v>
      </c>
      <c r="F8" s="42">
        <f t="shared" si="0"/>
        <v>-77868.124005000049</v>
      </c>
      <c r="G8" s="42">
        <f t="shared" si="0"/>
        <v>-57722.757284325031</v>
      </c>
      <c r="H8" s="42">
        <f t="shared" si="0"/>
        <v>-16356.099101729413</v>
      </c>
      <c r="I8" s="42">
        <f t="shared" si="0"/>
        <v>37975.357235837044</v>
      </c>
      <c r="J8" s="42">
        <f t="shared" si="0"/>
        <v>55164.001253391478</v>
      </c>
      <c r="K8" s="42">
        <f t="shared" si="0"/>
        <v>101974.05683751938</v>
      </c>
      <c r="L8" s="42">
        <f t="shared" si="0"/>
        <v>103377.13053926182</v>
      </c>
      <c r="M8" s="42">
        <f t="shared" si="0"/>
        <v>121325.16001161021</v>
      </c>
      <c r="N8" s="42">
        <f t="shared" si="0"/>
        <v>174634.20762564035</v>
      </c>
      <c r="O8" s="42">
        <f t="shared" si="0"/>
        <v>177269.72591180322</v>
      </c>
      <c r="P8" s="42">
        <f t="shared" si="0"/>
        <v>198421.22729900692</v>
      </c>
      <c r="Q8" s="42">
        <f t="shared" si="0"/>
        <v>191705.96280641796</v>
      </c>
      <c r="R8" s="42">
        <f t="shared" si="0"/>
        <v>189499.98461738654</v>
      </c>
      <c r="S8" s="42">
        <f t="shared" si="0"/>
        <v>219635.83906157553</v>
      </c>
      <c r="T8" s="42">
        <f t="shared" si="0"/>
        <v>179309.90752936935</v>
      </c>
      <c r="U8" s="42">
        <f t="shared" si="0"/>
        <v>233893.85736940111</v>
      </c>
      <c r="V8" s="42">
        <f t="shared" si="0"/>
        <v>196032.48918537743</v>
      </c>
      <c r="W8" s="42">
        <f t="shared" si="0"/>
        <v>216685.23680003616</v>
      </c>
      <c r="X8" s="42">
        <f t="shared" si="0"/>
        <v>247682.40140531369</v>
      </c>
      <c r="Y8" s="42">
        <f t="shared" si="0"/>
        <v>229811.04591132147</v>
      </c>
      <c r="Z8" s="42">
        <f t="shared" si="0"/>
        <v>248021.23704605096</v>
      </c>
      <c r="AA8" s="42">
        <f t="shared" si="0"/>
        <v>228228.48964231028</v>
      </c>
      <c r="AB8" s="42">
        <f t="shared" si="0"/>
        <v>241212.08989174414</v>
      </c>
      <c r="AC8" s="42">
        <f t="shared" si="0"/>
        <v>226536.43547273369</v>
      </c>
      <c r="AD8" s="42">
        <f t="shared" si="0"/>
        <v>254696.13355928182</v>
      </c>
      <c r="AE8" s="43">
        <f t="shared" si="0"/>
        <v>253901.60450229043</v>
      </c>
    </row>
    <row r="9" spans="1:32" ht="15" thickBot="1"/>
    <row r="10" spans="1:32" ht="15" thickBot="1">
      <c r="B10" s="128" t="s">
        <v>0</v>
      </c>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7"/>
    </row>
    <row r="11" spans="1:32">
      <c r="B11" s="54" t="s">
        <v>91</v>
      </c>
      <c r="C11" s="126">
        <f>-(IF($B$2="Base/Base",'Forward Price Ratios'!C39,IF($B$2="High/Low",'Forward Price Ratios'!C43,IF($B$2="Low/High",'Forward Price Ratios'!C47))))</f>
        <v>-2.4499999999999993</v>
      </c>
      <c r="D11" s="126">
        <f>-(IF($B$2="Base/Base",'Forward Price Ratios'!D39,IF($B$2="High/Low",'Forward Price Ratios'!D43,IF($B$2="Low/High",'Forward Price Ratios'!D47))))</f>
        <v>-1.5700000000000003</v>
      </c>
      <c r="E11" s="126">
        <f>-(IF($B$2="Base/Base",'Forward Price Ratios'!E39,IF($B$2="High/Low",'Forward Price Ratios'!E43,IF($B$2="Low/High",'Forward Price Ratios'!E47))))</f>
        <v>-1.1799999999999997</v>
      </c>
      <c r="F11" s="126">
        <f>-(IF($B$2="Base/Base",'Forward Price Ratios'!F39,IF($B$2="High/Low",'Forward Price Ratios'!F43,IF($B$2="Low/High",'Forward Price Ratios'!F47))))</f>
        <v>-1.25</v>
      </c>
      <c r="G11" s="126">
        <f>-(IF($B$2="Base/Base",'Forward Price Ratios'!G39,IF($B$2="High/Low",'Forward Price Ratios'!G43,IF($B$2="Low/High",'Forward Price Ratios'!G47))))</f>
        <v>-0.76000000000000512</v>
      </c>
      <c r="H11" s="126">
        <f>-(IF($B$2="Base/Base",'Forward Price Ratios'!H39,IF($B$2="High/Low",'Forward Price Ratios'!H43,IF($B$2="Low/High",'Forward Price Ratios'!H47))))</f>
        <v>0.42999999999999972</v>
      </c>
      <c r="I11" s="126">
        <f>-(IF($B$2="Base/Base",'Forward Price Ratios'!I39,IF($B$2="High/Low",'Forward Price Ratios'!I43,IF($B$2="Low/High",'Forward Price Ratios'!I47))))</f>
        <v>1.990000000000002</v>
      </c>
      <c r="J11" s="126">
        <f>-(IF($B$2="Base/Base",'Forward Price Ratios'!J39,IF($B$2="High/Low",'Forward Price Ratios'!J43,IF($B$2="Low/High",'Forward Price Ratios'!J47))))</f>
        <v>2.7199999999999989</v>
      </c>
      <c r="K11" s="126">
        <f>-(IF($B$2="Base/Base",'Forward Price Ratios'!K39,IF($B$2="High/Low",'Forward Price Ratios'!K43,IF($B$2="Low/High",'Forward Price Ratios'!K47))))</f>
        <v>3.8599999999999994</v>
      </c>
      <c r="L11" s="126">
        <f>-(IF($B$2="Base/Base",'Forward Price Ratios'!L39,IF($B$2="High/Low",'Forward Price Ratios'!L43,IF($B$2="Low/High",'Forward Price Ratios'!L47))))</f>
        <v>4.1099999999999994</v>
      </c>
      <c r="M11" s="126">
        <f>-(IF($B$2="Base/Base",'Forward Price Ratios'!M39,IF($B$2="High/Low",'Forward Price Ratios'!M43,IF($B$2="Low/High",'Forward Price Ratios'!M47))))</f>
        <v>4.5799999999999983</v>
      </c>
      <c r="N11" s="126">
        <f>-(IF($B$2="Base/Base",'Forward Price Ratios'!N39,IF($B$2="High/Low",'Forward Price Ratios'!N43,IF($B$2="Low/High",'Forward Price Ratios'!N47))))</f>
        <v>6.4799999999999969</v>
      </c>
      <c r="O11" s="126">
        <f>-(IF($B$2="Base/Base",'Forward Price Ratios'!O39,IF($B$2="High/Low",'Forward Price Ratios'!O43,IF($B$2="Low/High",'Forward Price Ratios'!O47))))</f>
        <v>6.509999999999998</v>
      </c>
      <c r="P11" s="126">
        <f>-(IF($B$2="Base/Base",'Forward Price Ratios'!P39,IF($B$2="High/Low",'Forward Price Ratios'!P43,IF($B$2="Low/High",'Forward Price Ratios'!P47))))</f>
        <v>7.25</v>
      </c>
      <c r="Q11" s="126">
        <f>-(IF($B$2="Base/Base",'Forward Price Ratios'!Q39,IF($B$2="High/Low",'Forward Price Ratios'!Q43,IF($B$2="Low/High",'Forward Price Ratios'!Q47))))</f>
        <v>7.0899999999999963</v>
      </c>
      <c r="R11" s="126">
        <f>-(IF($B$2="Base/Base",'Forward Price Ratios'!R39,IF($B$2="High/Low",'Forward Price Ratios'!R43,IF($B$2="Low/High",'Forward Price Ratios'!R47))))</f>
        <v>7.43</v>
      </c>
      <c r="S11" s="126">
        <f>-(IF($B$2="Base/Base",'Forward Price Ratios'!S39,IF($B$2="High/Low",'Forward Price Ratios'!S43,IF($B$2="Low/High",'Forward Price Ratios'!S47))))</f>
        <v>8.0799999999999983</v>
      </c>
      <c r="T11" s="126">
        <f>-(IF($B$2="Base/Base",'Forward Price Ratios'!T39,IF($B$2="High/Low",'Forward Price Ratios'!T43,IF($B$2="Low/High",'Forward Price Ratios'!T47))))</f>
        <v>7.25</v>
      </c>
      <c r="U11" s="126">
        <f>-(IF($B$2="Base/Base",'Forward Price Ratios'!U39,IF($B$2="High/Low",'Forward Price Ratios'!U43,IF($B$2="Low/High",'Forward Price Ratios'!U47))))</f>
        <v>8.7199999999999989</v>
      </c>
      <c r="V11" s="126">
        <f>-(IF($B$2="Base/Base",'Forward Price Ratios'!V39,IF($B$2="High/Low",'Forward Price Ratios'!V43,IF($B$2="Low/High",'Forward Price Ratios'!V47))))</f>
        <v>8.4199999999999946</v>
      </c>
      <c r="W11" s="126">
        <f>-(IF($B$2="Base/Base",'Forward Price Ratios'!W39,IF($B$2="High/Low",'Forward Price Ratios'!W43,IF($B$2="Low/High",'Forward Price Ratios'!W47))))</f>
        <v>8.4100000000000037</v>
      </c>
      <c r="X11" s="126">
        <f>-(IF($B$2="Base/Base",'Forward Price Ratios'!X39,IF($B$2="High/Low",'Forward Price Ratios'!X43,IF($B$2="Low/High",'Forward Price Ratios'!X47))))</f>
        <v>10.100000000000001</v>
      </c>
      <c r="Y11" s="126">
        <f>-(IF($B$2="Base/Base",'Forward Price Ratios'!Y39,IF($B$2="High/Low",'Forward Price Ratios'!Y43,IF($B$2="Low/High",'Forward Price Ratios'!Y47))))</f>
        <v>9.43</v>
      </c>
      <c r="Z11" s="126">
        <f>-(IF($B$2="Base/Base",'Forward Price Ratios'!Z39,IF($B$2="High/Low",'Forward Price Ratios'!Z43,IF($B$2="Low/High",'Forward Price Ratios'!Z47))))</f>
        <v>10.590000000000003</v>
      </c>
      <c r="AA11" s="126">
        <f>-(IF($B$2="Base/Base",'Forward Price Ratios'!AA39,IF($B$2="High/Low",'Forward Price Ratios'!AA43,IF($B$2="Low/High",'Forward Price Ratios'!AA47))))</f>
        <v>9.93</v>
      </c>
      <c r="AB11" s="126">
        <f>-(IF($B$2="Base/Base",'Forward Price Ratios'!AB39,IF($B$2="High/Low",'Forward Price Ratios'!AB43,IF($B$2="Low/High",'Forward Price Ratios'!AB47))))</f>
        <v>10.649999999999999</v>
      </c>
      <c r="AC11" s="126">
        <f>-(IF($B$2="Base/Base",'Forward Price Ratios'!AC39,IF($B$2="High/Low",'Forward Price Ratios'!AC43,IF($B$2="Low/High",'Forward Price Ratios'!AC47))))</f>
        <v>10.280000000000001</v>
      </c>
      <c r="AD11" s="126">
        <f>-(IF($B$2="Base/Base",'Forward Price Ratios'!AD39,IF($B$2="High/Low",'Forward Price Ratios'!AD43,IF($B$2="Low/High",'Forward Price Ratios'!AD47))))</f>
        <v>11.46</v>
      </c>
      <c r="AE11" s="126">
        <f>-(IF($B$2="Base/Base",'Forward Price Ratios'!AE39,IF($B$2="High/Low",'Forward Price Ratios'!AE43,IF($B$2="Low/High",'Forward Price Ratios'!AE47))))</f>
        <v>11.520000000000003</v>
      </c>
    </row>
    <row r="12" spans="1:32">
      <c r="B12" s="36" t="s">
        <v>92</v>
      </c>
      <c r="C12" s="70">
        <f t="shared" ref="C12:AE12" si="1">C7</f>
        <v>42000</v>
      </c>
      <c r="D12" s="70">
        <f t="shared" si="1"/>
        <v>41370</v>
      </c>
      <c r="E12" s="70">
        <f t="shared" si="1"/>
        <v>40749.449999999997</v>
      </c>
      <c r="F12" s="70">
        <f t="shared" si="1"/>
        <v>40138.208249999996</v>
      </c>
      <c r="G12" s="70">
        <f t="shared" si="1"/>
        <v>39536.135126249996</v>
      </c>
      <c r="H12" s="70">
        <f t="shared" si="1"/>
        <v>38943.093099356243</v>
      </c>
      <c r="I12" s="70">
        <f t="shared" si="1"/>
        <v>38358.946702865898</v>
      </c>
      <c r="J12" s="70">
        <f t="shared" si="1"/>
        <v>37783.562502322908</v>
      </c>
      <c r="K12" s="70">
        <f t="shared" si="1"/>
        <v>37216.809064788067</v>
      </c>
      <c r="L12" s="70">
        <f t="shared" si="1"/>
        <v>36658.556928816244</v>
      </c>
      <c r="M12" s="70">
        <f t="shared" si="1"/>
        <v>36108.678574883997</v>
      </c>
      <c r="N12" s="70">
        <f t="shared" si="1"/>
        <v>35567.04839626074</v>
      </c>
      <c r="O12" s="70">
        <f t="shared" si="1"/>
        <v>35033.542670316827</v>
      </c>
      <c r="P12" s="70">
        <f t="shared" si="1"/>
        <v>34508.039530262075</v>
      </c>
      <c r="Q12" s="70">
        <f t="shared" si="1"/>
        <v>33990.418937308146</v>
      </c>
      <c r="R12" s="70">
        <f t="shared" si="1"/>
        <v>33480.562653248526</v>
      </c>
      <c r="S12" s="70">
        <f t="shared" si="1"/>
        <v>32978.354213449798</v>
      </c>
      <c r="T12" s="70">
        <f t="shared" si="1"/>
        <v>32483.678900248051</v>
      </c>
      <c r="U12" s="70">
        <f t="shared" si="1"/>
        <v>31996.423716744328</v>
      </c>
      <c r="V12" s="70">
        <f t="shared" si="1"/>
        <v>31516.477360993162</v>
      </c>
      <c r="W12" s="70">
        <f t="shared" si="1"/>
        <v>31043.730200578262</v>
      </c>
      <c r="X12" s="70">
        <f t="shared" si="1"/>
        <v>30578.074247569588</v>
      </c>
      <c r="Y12" s="70">
        <f t="shared" si="1"/>
        <v>30119.403133856045</v>
      </c>
      <c r="Z12" s="70">
        <f t="shared" si="1"/>
        <v>29667.612086848203</v>
      </c>
      <c r="AA12" s="70">
        <f t="shared" si="1"/>
        <v>29222.597905545481</v>
      </c>
      <c r="AB12" s="70">
        <f t="shared" si="1"/>
        <v>28784.258936962298</v>
      </c>
      <c r="AC12" s="70">
        <f t="shared" si="1"/>
        <v>28352.495052907863</v>
      </c>
      <c r="AD12" s="70">
        <f t="shared" si="1"/>
        <v>27927.207627114243</v>
      </c>
      <c r="AE12" s="125">
        <f t="shared" si="1"/>
        <v>27508.29951270753</v>
      </c>
    </row>
    <row r="13" spans="1:32" ht="15" thickBot="1">
      <c r="B13" s="40" t="s">
        <v>93</v>
      </c>
      <c r="C13" s="42">
        <f t="shared" ref="C13:AE13" si="2">C12*C11</f>
        <v>-102899.99999999997</v>
      </c>
      <c r="D13" s="42">
        <f t="shared" si="2"/>
        <v>-64950.900000000009</v>
      </c>
      <c r="E13" s="42">
        <f t="shared" si="2"/>
        <v>-48084.350999999988</v>
      </c>
      <c r="F13" s="42">
        <f t="shared" si="2"/>
        <v>-50172.760312499995</v>
      </c>
      <c r="G13" s="42">
        <f t="shared" si="2"/>
        <v>-30047.462695950198</v>
      </c>
      <c r="H13" s="42">
        <f t="shared" si="2"/>
        <v>16745.530032723174</v>
      </c>
      <c r="I13" s="42">
        <f t="shared" si="2"/>
        <v>76334.303938703219</v>
      </c>
      <c r="J13" s="42">
        <f t="shared" si="2"/>
        <v>102771.29000631826</v>
      </c>
      <c r="K13" s="42">
        <f t="shared" si="2"/>
        <v>143656.88299008191</v>
      </c>
      <c r="L13" s="42">
        <f t="shared" si="2"/>
        <v>150666.66897743475</v>
      </c>
      <c r="M13" s="42">
        <f t="shared" si="2"/>
        <v>165377.74787296864</v>
      </c>
      <c r="N13" s="42">
        <f t="shared" si="2"/>
        <v>230474.47360776947</v>
      </c>
      <c r="O13" s="42">
        <f t="shared" si="2"/>
        <v>228068.36278376248</v>
      </c>
      <c r="P13" s="42">
        <f t="shared" si="2"/>
        <v>250183.28659440004</v>
      </c>
      <c r="Q13" s="42">
        <f t="shared" si="2"/>
        <v>240992.07026551463</v>
      </c>
      <c r="R13" s="42">
        <f t="shared" si="2"/>
        <v>248760.58051363652</v>
      </c>
      <c r="S13" s="42">
        <f t="shared" si="2"/>
        <v>266465.10204467434</v>
      </c>
      <c r="T13" s="42">
        <f t="shared" si="2"/>
        <v>235506.67202679836</v>
      </c>
      <c r="U13" s="42">
        <f t="shared" si="2"/>
        <v>279008.81481001049</v>
      </c>
      <c r="V13" s="42">
        <f t="shared" si="2"/>
        <v>265368.73937956226</v>
      </c>
      <c r="W13" s="42">
        <f t="shared" si="2"/>
        <v>261077.7709868633</v>
      </c>
      <c r="X13" s="42">
        <f t="shared" si="2"/>
        <v>308838.5499004529</v>
      </c>
      <c r="Y13" s="42">
        <f t="shared" si="2"/>
        <v>284025.97155226249</v>
      </c>
      <c r="Z13" s="42">
        <f t="shared" si="2"/>
        <v>314180.01199972257</v>
      </c>
      <c r="AA13" s="42">
        <f t="shared" si="2"/>
        <v>290180.39720206661</v>
      </c>
      <c r="AB13" s="42">
        <f t="shared" si="2"/>
        <v>306552.35767864843</v>
      </c>
      <c r="AC13" s="42">
        <f t="shared" si="2"/>
        <v>291463.64914389286</v>
      </c>
      <c r="AD13" s="42">
        <f t="shared" si="2"/>
        <v>320045.79940672923</v>
      </c>
      <c r="AE13" s="43">
        <f t="shared" si="2"/>
        <v>316895.61038639082</v>
      </c>
    </row>
    <row r="16" spans="1:32" ht="15" thickBot="1">
      <c r="B16" s="121" t="s">
        <v>108</v>
      </c>
      <c r="C16" s="121"/>
    </row>
    <row r="17" spans="2:4" ht="15" thickBot="1">
      <c r="B17" s="114" t="s">
        <v>45</v>
      </c>
      <c r="C17" s="130" t="s">
        <v>40</v>
      </c>
      <c r="D17" s="131" t="s">
        <v>0</v>
      </c>
    </row>
    <row r="18" spans="2:4">
      <c r="B18" s="54">
        <v>1</v>
      </c>
      <c r="C18" s="126">
        <f>SUMIFS($C$6:$AE$6, $C$4:$AE$4,B18)</f>
        <v>-2.7399999999999984</v>
      </c>
      <c r="D18" s="127">
        <f>SUMIFS($C$11:$AE$11, $C$4:$AE$4,B18)</f>
        <v>-2.4499999999999993</v>
      </c>
    </row>
    <row r="19" spans="2:4">
      <c r="B19" s="36">
        <v>2</v>
      </c>
      <c r="C19" s="57">
        <f t="shared" ref="C19:C47" si="3">SUMIFS($C$6:$AE$6, $C$4:$AE$4,B19)</f>
        <v>-1.8000000000000007</v>
      </c>
      <c r="D19" s="58">
        <f t="shared" ref="D19:D47" si="4">SUMIFS($C$11:$AE$11, $C$4:$AE$4,B19)</f>
        <v>-1.5700000000000003</v>
      </c>
    </row>
    <row r="20" spans="2:4">
      <c r="B20" s="36">
        <v>3</v>
      </c>
      <c r="C20" s="57">
        <f t="shared" si="3"/>
        <v>-1.5</v>
      </c>
      <c r="D20" s="58">
        <f t="shared" si="4"/>
        <v>-1.1799999999999997</v>
      </c>
    </row>
    <row r="21" spans="2:4">
      <c r="B21" s="36">
        <v>4</v>
      </c>
      <c r="C21" s="57">
        <f t="shared" si="3"/>
        <v>-1.9400000000000013</v>
      </c>
      <c r="D21" s="58">
        <f t="shared" si="4"/>
        <v>-1.25</v>
      </c>
    </row>
    <row r="22" spans="2:4">
      <c r="B22" s="36">
        <v>5</v>
      </c>
      <c r="C22" s="57">
        <f t="shared" si="3"/>
        <v>-1.4600000000000009</v>
      </c>
      <c r="D22" s="58">
        <f t="shared" si="4"/>
        <v>-0.76000000000000512</v>
      </c>
    </row>
    <row r="23" spans="2:4">
      <c r="B23" s="36">
        <v>6</v>
      </c>
      <c r="C23" s="57">
        <f t="shared" si="3"/>
        <v>-0.4199999999999946</v>
      </c>
      <c r="D23" s="58">
        <f t="shared" si="4"/>
        <v>0.42999999999999972</v>
      </c>
    </row>
    <row r="24" spans="2:4">
      <c r="B24" s="36">
        <v>7</v>
      </c>
      <c r="C24" s="57">
        <f t="shared" si="3"/>
        <v>0.98999999999999488</v>
      </c>
      <c r="D24" s="58">
        <f t="shared" si="4"/>
        <v>1.990000000000002</v>
      </c>
    </row>
    <row r="25" spans="2:4">
      <c r="B25" s="36">
        <v>8</v>
      </c>
      <c r="C25" s="57">
        <f t="shared" si="3"/>
        <v>1.4600000000000009</v>
      </c>
      <c r="D25" s="58">
        <f t="shared" si="4"/>
        <v>2.7199999999999989</v>
      </c>
    </row>
    <row r="26" spans="2:4">
      <c r="B26" s="36">
        <v>9</v>
      </c>
      <c r="C26" s="57">
        <f t="shared" si="3"/>
        <v>2.740000000000002</v>
      </c>
      <c r="D26" s="58">
        <f t="shared" si="4"/>
        <v>3.8599999999999994</v>
      </c>
    </row>
    <row r="27" spans="2:4">
      <c r="B27" s="36">
        <v>10</v>
      </c>
      <c r="C27" s="57">
        <f t="shared" si="3"/>
        <v>2.8200000000000003</v>
      </c>
      <c r="D27" s="58">
        <f t="shared" si="4"/>
        <v>4.1099999999999994</v>
      </c>
    </row>
    <row r="28" spans="2:4">
      <c r="B28" s="36">
        <v>11</v>
      </c>
      <c r="C28" s="57">
        <f t="shared" si="3"/>
        <v>3.3599999999999994</v>
      </c>
      <c r="D28" s="58">
        <f t="shared" si="4"/>
        <v>4.5799999999999983</v>
      </c>
    </row>
    <row r="29" spans="2:4">
      <c r="B29" s="36">
        <v>12</v>
      </c>
      <c r="C29" s="57">
        <f t="shared" si="3"/>
        <v>4.9100000000000037</v>
      </c>
      <c r="D29" s="58">
        <f t="shared" si="4"/>
        <v>6.4799999999999969</v>
      </c>
    </row>
    <row r="30" spans="2:4">
      <c r="B30" s="36">
        <v>13</v>
      </c>
      <c r="C30" s="57">
        <f t="shared" si="3"/>
        <v>5.0600000000000023</v>
      </c>
      <c r="D30" s="58">
        <f t="shared" si="4"/>
        <v>6.509999999999998</v>
      </c>
    </row>
    <row r="31" spans="2:4">
      <c r="B31" s="36">
        <v>14</v>
      </c>
      <c r="C31" s="57">
        <f t="shared" si="3"/>
        <v>5.75</v>
      </c>
      <c r="D31" s="58">
        <f t="shared" si="4"/>
        <v>7.25</v>
      </c>
    </row>
    <row r="32" spans="2:4">
      <c r="B32" s="36">
        <v>15</v>
      </c>
      <c r="C32" s="57">
        <f t="shared" si="3"/>
        <v>5.6400000000000006</v>
      </c>
      <c r="D32" s="58">
        <f t="shared" si="4"/>
        <v>7.0899999999999963</v>
      </c>
    </row>
    <row r="33" spans="2:4">
      <c r="B33" s="36">
        <v>16</v>
      </c>
      <c r="C33" s="57">
        <f t="shared" si="3"/>
        <v>5.6599999999999966</v>
      </c>
      <c r="D33" s="58">
        <f t="shared" si="4"/>
        <v>7.43</v>
      </c>
    </row>
    <row r="34" spans="2:4">
      <c r="B34" s="36">
        <v>17</v>
      </c>
      <c r="C34" s="57">
        <f t="shared" si="3"/>
        <v>6.6599999999999966</v>
      </c>
      <c r="D34" s="58">
        <f t="shared" si="4"/>
        <v>8.0799999999999983</v>
      </c>
    </row>
    <row r="35" spans="2:4">
      <c r="B35" s="36">
        <v>18</v>
      </c>
      <c r="C35" s="57">
        <f t="shared" si="3"/>
        <v>5.5200000000000031</v>
      </c>
      <c r="D35" s="58">
        <f t="shared" si="4"/>
        <v>7.25</v>
      </c>
    </row>
    <row r="36" spans="2:4">
      <c r="B36" s="36">
        <v>19</v>
      </c>
      <c r="C36" s="57">
        <f t="shared" si="3"/>
        <v>7.3100000000000023</v>
      </c>
      <c r="D36" s="58">
        <f t="shared" si="4"/>
        <v>8.7199999999999989</v>
      </c>
    </row>
    <row r="37" spans="2:4">
      <c r="B37" s="36">
        <v>20</v>
      </c>
      <c r="C37" s="57">
        <f t="shared" si="3"/>
        <v>6.2199999999999989</v>
      </c>
      <c r="D37" s="58">
        <f t="shared" si="4"/>
        <v>8.4199999999999946</v>
      </c>
    </row>
    <row r="38" spans="2:4">
      <c r="B38" s="36">
        <v>21</v>
      </c>
      <c r="C38" s="57">
        <f t="shared" si="3"/>
        <v>6.9799999999999969</v>
      </c>
      <c r="D38" s="58">
        <f t="shared" si="4"/>
        <v>8.4100000000000037</v>
      </c>
    </row>
    <row r="39" spans="2:4">
      <c r="B39" s="36">
        <v>22</v>
      </c>
      <c r="C39" s="57">
        <f t="shared" si="3"/>
        <v>8.1000000000000014</v>
      </c>
      <c r="D39" s="58">
        <f t="shared" si="4"/>
        <v>10.100000000000001</v>
      </c>
    </row>
    <row r="40" spans="2:4">
      <c r="B40" s="36">
        <v>23</v>
      </c>
      <c r="C40" s="57">
        <f t="shared" si="3"/>
        <v>7.6299999999999955</v>
      </c>
      <c r="D40" s="58">
        <f t="shared" si="4"/>
        <v>9.43</v>
      </c>
    </row>
    <row r="41" spans="2:4">
      <c r="B41" s="36">
        <v>24</v>
      </c>
      <c r="C41" s="57">
        <f t="shared" si="3"/>
        <v>8.36</v>
      </c>
      <c r="D41" s="58">
        <f t="shared" si="4"/>
        <v>10.590000000000003</v>
      </c>
    </row>
    <row r="42" spans="2:4">
      <c r="B42" s="36">
        <v>25</v>
      </c>
      <c r="C42" s="57">
        <f t="shared" si="3"/>
        <v>7.8100000000000023</v>
      </c>
      <c r="D42" s="58">
        <f t="shared" si="4"/>
        <v>9.93</v>
      </c>
    </row>
    <row r="43" spans="2:4">
      <c r="B43" s="36">
        <v>26</v>
      </c>
      <c r="C43" s="57">
        <f t="shared" si="3"/>
        <v>8.3800000000000026</v>
      </c>
      <c r="D43" s="58">
        <f t="shared" si="4"/>
        <v>10.649999999999999</v>
      </c>
    </row>
    <row r="44" spans="2:4">
      <c r="B44" s="36">
        <v>27</v>
      </c>
      <c r="C44" s="57">
        <f t="shared" si="3"/>
        <v>7.9899999999999949</v>
      </c>
      <c r="D44" s="58">
        <f t="shared" si="4"/>
        <v>10.280000000000001</v>
      </c>
    </row>
    <row r="45" spans="2:4">
      <c r="B45" s="36">
        <v>28</v>
      </c>
      <c r="C45" s="57">
        <f t="shared" si="3"/>
        <v>9.1199999999999974</v>
      </c>
      <c r="D45" s="58">
        <f t="shared" si="4"/>
        <v>11.46</v>
      </c>
    </row>
    <row r="46" spans="2:4">
      <c r="B46" s="36">
        <v>29</v>
      </c>
      <c r="C46" s="57">
        <f t="shared" si="3"/>
        <v>9.2299999999999969</v>
      </c>
      <c r="D46" s="58">
        <f t="shared" si="4"/>
        <v>11.520000000000003</v>
      </c>
    </row>
    <row r="47" spans="2:4" ht="15" thickBot="1">
      <c r="B47" s="40">
        <v>30</v>
      </c>
      <c r="C47" s="61">
        <f t="shared" si="3"/>
        <v>0</v>
      </c>
      <c r="D47" s="62">
        <f t="shared" si="4"/>
        <v>0</v>
      </c>
    </row>
  </sheetData>
  <dataValidations count="1">
    <dataValidation type="list" allowBlank="1" showInputMessage="1" showErrorMessage="1" sqref="B2:B3" xr:uid="{00000000-0002-0000-0000-000000000000}">
      <formula1>"Average/Average, High/Low, Low/High"</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1E951-4EFE-4572-9A07-E0F4194C1BEF}">
  <sheetPr>
    <tabColor theme="0" tint="-0.249977111117893"/>
  </sheetPr>
  <dimension ref="A1:AE48"/>
  <sheetViews>
    <sheetView topLeftCell="A4" workbookViewId="0">
      <selection activeCell="E18" sqref="E18"/>
    </sheetView>
  </sheetViews>
  <sheetFormatPr defaultColWidth="8.81640625" defaultRowHeight="14.5"/>
  <cols>
    <col min="1" max="1" width="17.453125" bestFit="1" customWidth="1"/>
    <col min="2" max="2" width="20.6328125" bestFit="1" customWidth="1"/>
    <col min="4" max="5" width="10.81640625" bestFit="1" customWidth="1"/>
  </cols>
  <sheetData>
    <row r="1" spans="1:31">
      <c r="A1" s="122" t="s">
        <v>39</v>
      </c>
    </row>
    <row r="2" spans="1:31">
      <c r="A2" s="138" t="s">
        <v>111</v>
      </c>
    </row>
    <row r="3" spans="1:31">
      <c r="A3" s="152"/>
      <c r="B3" s="153" t="s">
        <v>122</v>
      </c>
    </row>
    <row r="4" spans="1:31" ht="15" thickBot="1">
      <c r="A4" s="154"/>
      <c r="B4" s="153"/>
    </row>
    <row r="5" spans="1:31" ht="15" thickBot="1">
      <c r="A5" s="136" t="s">
        <v>106</v>
      </c>
      <c r="B5" s="264" t="s">
        <v>45</v>
      </c>
      <c r="C5" s="66">
        <v>1</v>
      </c>
      <c r="D5" s="66">
        <f t="shared" ref="D5:AE5" si="0">C5+1</f>
        <v>2</v>
      </c>
      <c r="E5" s="66">
        <f t="shared" si="0"/>
        <v>3</v>
      </c>
      <c r="F5" s="66">
        <f t="shared" si="0"/>
        <v>4</v>
      </c>
      <c r="G5" s="66">
        <f t="shared" si="0"/>
        <v>5</v>
      </c>
      <c r="H5" s="66">
        <f t="shared" si="0"/>
        <v>6</v>
      </c>
      <c r="I5" s="66">
        <f t="shared" si="0"/>
        <v>7</v>
      </c>
      <c r="J5" s="66">
        <f t="shared" si="0"/>
        <v>8</v>
      </c>
      <c r="K5" s="66">
        <f t="shared" si="0"/>
        <v>9</v>
      </c>
      <c r="L5" s="66">
        <f t="shared" si="0"/>
        <v>10</v>
      </c>
      <c r="M5" s="66">
        <f t="shared" si="0"/>
        <v>11</v>
      </c>
      <c r="N5" s="66">
        <f t="shared" si="0"/>
        <v>12</v>
      </c>
      <c r="O5" s="66">
        <f t="shared" si="0"/>
        <v>13</v>
      </c>
      <c r="P5" s="66">
        <f t="shared" si="0"/>
        <v>14</v>
      </c>
      <c r="Q5" s="66">
        <f t="shared" si="0"/>
        <v>15</v>
      </c>
      <c r="R5" s="66">
        <f t="shared" si="0"/>
        <v>16</v>
      </c>
      <c r="S5" s="66">
        <f t="shared" si="0"/>
        <v>17</v>
      </c>
      <c r="T5" s="66">
        <f t="shared" si="0"/>
        <v>18</v>
      </c>
      <c r="U5" s="66">
        <f t="shared" si="0"/>
        <v>19</v>
      </c>
      <c r="V5" s="66">
        <f t="shared" si="0"/>
        <v>20</v>
      </c>
      <c r="W5" s="66">
        <f t="shared" si="0"/>
        <v>21</v>
      </c>
      <c r="X5" s="66">
        <f t="shared" si="0"/>
        <v>22</v>
      </c>
      <c r="Y5" s="66">
        <f t="shared" si="0"/>
        <v>23</v>
      </c>
      <c r="Z5" s="66">
        <f t="shared" si="0"/>
        <v>24</v>
      </c>
      <c r="AA5" s="66">
        <f t="shared" si="0"/>
        <v>25</v>
      </c>
      <c r="AB5" s="66">
        <f t="shared" si="0"/>
        <v>26</v>
      </c>
      <c r="AC5" s="66">
        <f t="shared" si="0"/>
        <v>27</v>
      </c>
      <c r="AD5" s="66">
        <f t="shared" si="0"/>
        <v>28</v>
      </c>
      <c r="AE5" s="67">
        <f t="shared" si="0"/>
        <v>29</v>
      </c>
    </row>
    <row r="6" spans="1:31" ht="15" thickBot="1">
      <c r="A6" s="135"/>
      <c r="B6" s="265"/>
      <c r="C6" s="66">
        <v>2022</v>
      </c>
      <c r="D6" s="66">
        <v>2023</v>
      </c>
      <c r="E6" s="66">
        <v>2024</v>
      </c>
      <c r="F6" s="66">
        <v>2025</v>
      </c>
      <c r="G6" s="66">
        <v>2026</v>
      </c>
      <c r="H6" s="66">
        <v>2027</v>
      </c>
      <c r="I6" s="66">
        <v>2028</v>
      </c>
      <c r="J6" s="66">
        <v>2029</v>
      </c>
      <c r="K6" s="66">
        <v>2030</v>
      </c>
      <c r="L6" s="66">
        <v>2031</v>
      </c>
      <c r="M6" s="66">
        <v>2032</v>
      </c>
      <c r="N6" s="66">
        <v>2033</v>
      </c>
      <c r="O6" s="66">
        <v>2034</v>
      </c>
      <c r="P6" s="66">
        <v>2035</v>
      </c>
      <c r="Q6" s="66">
        <v>2036</v>
      </c>
      <c r="R6" s="66">
        <v>2037</v>
      </c>
      <c r="S6" s="66">
        <v>2038</v>
      </c>
      <c r="T6" s="66">
        <v>2039</v>
      </c>
      <c r="U6" s="66">
        <v>2040</v>
      </c>
      <c r="V6" s="66">
        <v>2041</v>
      </c>
      <c r="W6" s="66">
        <v>2042</v>
      </c>
      <c r="X6" s="66">
        <v>2043</v>
      </c>
      <c r="Y6" s="66">
        <v>2044</v>
      </c>
      <c r="Z6" s="66">
        <v>2045</v>
      </c>
      <c r="AA6" s="66">
        <v>2046</v>
      </c>
      <c r="AB6" s="66">
        <v>2047</v>
      </c>
      <c r="AC6" s="66">
        <v>2048</v>
      </c>
      <c r="AD6" s="66">
        <v>2049</v>
      </c>
      <c r="AE6" s="67">
        <v>2050</v>
      </c>
    </row>
    <row r="7" spans="1:31">
      <c r="A7" s="54" t="s">
        <v>103</v>
      </c>
      <c r="B7" s="133" t="s">
        <v>102</v>
      </c>
      <c r="C7" s="155">
        <v>31.27</v>
      </c>
      <c r="D7" s="155">
        <v>29.64</v>
      </c>
      <c r="E7" s="155">
        <v>29.41</v>
      </c>
      <c r="F7" s="155">
        <v>31.74</v>
      </c>
      <c r="G7" s="155">
        <v>35.79</v>
      </c>
      <c r="H7" s="155">
        <v>37.24</v>
      </c>
      <c r="I7" s="155">
        <v>38.229999999999997</v>
      </c>
      <c r="J7" s="155">
        <v>40.07</v>
      </c>
      <c r="K7" s="155">
        <v>42.24</v>
      </c>
      <c r="L7" s="155">
        <v>43.99</v>
      </c>
      <c r="M7" s="155">
        <v>45.01</v>
      </c>
      <c r="N7" s="155">
        <v>49.27</v>
      </c>
      <c r="O7" s="155">
        <v>50.53</v>
      </c>
      <c r="P7" s="155">
        <v>52.37</v>
      </c>
      <c r="Q7" s="155">
        <v>53.09</v>
      </c>
      <c r="R7" s="155">
        <v>53.43</v>
      </c>
      <c r="S7" s="155">
        <v>53.83</v>
      </c>
      <c r="T7" s="155">
        <v>52.77</v>
      </c>
      <c r="U7" s="155">
        <v>54.45</v>
      </c>
      <c r="V7" s="155">
        <v>54.8</v>
      </c>
      <c r="W7" s="155">
        <v>56</v>
      </c>
      <c r="X7" s="155">
        <v>56.15</v>
      </c>
      <c r="Y7" s="155">
        <v>54.9</v>
      </c>
      <c r="Z7" s="155">
        <v>55.74</v>
      </c>
      <c r="AA7" s="155">
        <v>56.92</v>
      </c>
      <c r="AB7" s="155">
        <v>56.32</v>
      </c>
      <c r="AC7" s="155">
        <v>55.91</v>
      </c>
      <c r="AD7" s="155">
        <v>57.36</v>
      </c>
      <c r="AE7" s="156">
        <v>57.57</v>
      </c>
    </row>
    <row r="8" spans="1:31">
      <c r="A8" s="36" t="s">
        <v>103</v>
      </c>
      <c r="B8" s="134" t="s">
        <v>100</v>
      </c>
      <c r="C8" s="157">
        <v>34.01</v>
      </c>
      <c r="D8" s="157">
        <v>31.44</v>
      </c>
      <c r="E8" s="157">
        <v>30.91</v>
      </c>
      <c r="F8" s="157">
        <v>33.68</v>
      </c>
      <c r="G8" s="157">
        <v>37.25</v>
      </c>
      <c r="H8" s="157">
        <v>37.659999999999997</v>
      </c>
      <c r="I8" s="157">
        <v>37.24</v>
      </c>
      <c r="J8" s="157">
        <v>38.61</v>
      </c>
      <c r="K8" s="157">
        <v>39.5</v>
      </c>
      <c r="L8" s="157">
        <v>41.17</v>
      </c>
      <c r="M8" s="157">
        <v>41.65</v>
      </c>
      <c r="N8" s="157">
        <v>44.36</v>
      </c>
      <c r="O8" s="157">
        <v>45.47</v>
      </c>
      <c r="P8" s="157">
        <v>46.62</v>
      </c>
      <c r="Q8" s="157">
        <v>47.45</v>
      </c>
      <c r="R8" s="157">
        <v>47.77</v>
      </c>
      <c r="S8" s="157">
        <v>47.17</v>
      </c>
      <c r="T8" s="157">
        <v>47.25</v>
      </c>
      <c r="U8" s="157">
        <v>47.14</v>
      </c>
      <c r="V8" s="157">
        <v>48.58</v>
      </c>
      <c r="W8" s="157">
        <v>49.02</v>
      </c>
      <c r="X8" s="157">
        <v>48.05</v>
      </c>
      <c r="Y8" s="157">
        <v>47.27</v>
      </c>
      <c r="Z8" s="157">
        <v>47.38</v>
      </c>
      <c r="AA8" s="157">
        <v>49.11</v>
      </c>
      <c r="AB8" s="157">
        <v>47.94</v>
      </c>
      <c r="AC8" s="157">
        <v>47.92</v>
      </c>
      <c r="AD8" s="157">
        <v>48.24</v>
      </c>
      <c r="AE8" s="158">
        <v>48.34</v>
      </c>
    </row>
    <row r="9" spans="1:31">
      <c r="A9" s="36" t="s">
        <v>101</v>
      </c>
      <c r="B9" s="134" t="s">
        <v>102</v>
      </c>
      <c r="C9" s="157">
        <v>31.7</v>
      </c>
      <c r="D9" s="157">
        <v>30.54</v>
      </c>
      <c r="E9" s="157">
        <v>30.28</v>
      </c>
      <c r="F9" s="157">
        <v>32.71</v>
      </c>
      <c r="G9" s="157">
        <v>37.26</v>
      </c>
      <c r="H9" s="157">
        <v>38.79</v>
      </c>
      <c r="I9" s="157">
        <v>39.840000000000003</v>
      </c>
      <c r="J9" s="157">
        <v>41.87</v>
      </c>
      <c r="K9" s="157">
        <v>43.98</v>
      </c>
      <c r="L9" s="157">
        <v>45.74</v>
      </c>
      <c r="M9" s="157">
        <v>46.79</v>
      </c>
      <c r="N9" s="157">
        <v>51.36</v>
      </c>
      <c r="O9" s="157">
        <v>52.79</v>
      </c>
      <c r="P9" s="157">
        <v>54.57</v>
      </c>
      <c r="Q9" s="157">
        <v>55.19</v>
      </c>
      <c r="R9" s="157">
        <v>55.81</v>
      </c>
      <c r="S9" s="157">
        <v>56.05</v>
      </c>
      <c r="T9" s="157">
        <v>55.34</v>
      </c>
      <c r="U9" s="157">
        <v>56.9</v>
      </c>
      <c r="V9" s="157">
        <v>57.48</v>
      </c>
      <c r="W9" s="157">
        <v>57.92</v>
      </c>
      <c r="X9" s="157">
        <v>58.83</v>
      </c>
      <c r="Y9" s="157">
        <v>57.51</v>
      </c>
      <c r="Z9" s="157">
        <v>58.77</v>
      </c>
      <c r="AA9" s="157">
        <v>59.64</v>
      </c>
      <c r="AB9" s="157">
        <v>59.18</v>
      </c>
      <c r="AC9" s="157">
        <v>58.88</v>
      </c>
      <c r="AD9" s="157">
        <v>60.59</v>
      </c>
      <c r="AE9" s="158">
        <v>61.14</v>
      </c>
    </row>
    <row r="10" spans="1:31" ht="15" thickBot="1">
      <c r="A10" s="40" t="s">
        <v>101</v>
      </c>
      <c r="B10" s="135" t="s">
        <v>100</v>
      </c>
      <c r="C10" s="159">
        <v>34.15</v>
      </c>
      <c r="D10" s="159">
        <v>32.11</v>
      </c>
      <c r="E10" s="159">
        <v>31.46</v>
      </c>
      <c r="F10" s="159">
        <v>33.96</v>
      </c>
      <c r="G10" s="159">
        <v>38.020000000000003</v>
      </c>
      <c r="H10" s="159">
        <v>38.36</v>
      </c>
      <c r="I10" s="159">
        <v>37.85</v>
      </c>
      <c r="J10" s="159">
        <v>39.15</v>
      </c>
      <c r="K10" s="159">
        <v>40.119999999999997</v>
      </c>
      <c r="L10" s="159">
        <v>41.63</v>
      </c>
      <c r="M10" s="159">
        <v>42.21</v>
      </c>
      <c r="N10" s="159">
        <v>44.88</v>
      </c>
      <c r="O10" s="159">
        <v>46.28</v>
      </c>
      <c r="P10" s="159">
        <v>47.32</v>
      </c>
      <c r="Q10" s="159">
        <v>48.1</v>
      </c>
      <c r="R10" s="159">
        <v>48.38</v>
      </c>
      <c r="S10" s="159">
        <v>47.97</v>
      </c>
      <c r="T10" s="159">
        <v>48.09</v>
      </c>
      <c r="U10" s="159">
        <v>48.18</v>
      </c>
      <c r="V10" s="159">
        <v>49.06</v>
      </c>
      <c r="W10" s="159">
        <v>49.51</v>
      </c>
      <c r="X10" s="159">
        <v>48.73</v>
      </c>
      <c r="Y10" s="159">
        <v>48.08</v>
      </c>
      <c r="Z10" s="159">
        <v>48.18</v>
      </c>
      <c r="AA10" s="159">
        <v>49.71</v>
      </c>
      <c r="AB10" s="159">
        <v>48.53</v>
      </c>
      <c r="AC10" s="159">
        <v>48.6</v>
      </c>
      <c r="AD10" s="159">
        <v>49.13</v>
      </c>
      <c r="AE10" s="160">
        <v>49.62</v>
      </c>
    </row>
    <row r="12" spans="1:31" ht="15" thickBot="1">
      <c r="A12" s="121" t="s">
        <v>105</v>
      </c>
    </row>
    <row r="13" spans="1:31">
      <c r="A13" s="54" t="s">
        <v>103</v>
      </c>
      <c r="B13" s="133" t="s">
        <v>102</v>
      </c>
      <c r="C13" s="155">
        <v>31.41</v>
      </c>
      <c r="D13" s="155">
        <v>29.56</v>
      </c>
      <c r="E13" s="155">
        <v>29.6</v>
      </c>
      <c r="F13" s="155">
        <v>31.77</v>
      </c>
      <c r="G13" s="155">
        <v>36.619999999999997</v>
      </c>
      <c r="H13" s="155">
        <v>37.35</v>
      </c>
      <c r="I13" s="155">
        <v>38.19</v>
      </c>
      <c r="J13" s="155">
        <v>39.6</v>
      </c>
      <c r="K13" s="155">
        <v>40.78</v>
      </c>
      <c r="L13" s="155">
        <v>42.42</v>
      </c>
      <c r="M13" s="155">
        <v>43.03</v>
      </c>
      <c r="N13" s="155">
        <v>45.28</v>
      </c>
      <c r="O13" s="155">
        <v>46.06</v>
      </c>
      <c r="P13" s="155">
        <v>48.05</v>
      </c>
      <c r="Q13" s="155">
        <v>49.67</v>
      </c>
      <c r="R13" s="155">
        <v>49.97</v>
      </c>
      <c r="S13" s="155">
        <v>49.69</v>
      </c>
      <c r="T13" s="155">
        <v>48.85</v>
      </c>
      <c r="U13" s="155">
        <v>49.46</v>
      </c>
      <c r="V13" s="155">
        <v>50.51</v>
      </c>
      <c r="W13" s="155">
        <v>50.93</v>
      </c>
      <c r="X13" s="155">
        <v>51.83</v>
      </c>
      <c r="Y13" s="155">
        <v>51.87</v>
      </c>
      <c r="Z13" s="155">
        <v>52.55</v>
      </c>
      <c r="AA13" s="155">
        <v>53.07</v>
      </c>
      <c r="AB13" s="155">
        <v>54</v>
      </c>
      <c r="AC13" s="155">
        <v>53.72</v>
      </c>
      <c r="AD13" s="155">
        <v>53.97</v>
      </c>
      <c r="AE13" s="156">
        <v>54.72</v>
      </c>
    </row>
    <row r="14" spans="1:31">
      <c r="A14" s="36" t="s">
        <v>103</v>
      </c>
      <c r="B14" s="134" t="s">
        <v>100</v>
      </c>
      <c r="C14" s="157">
        <v>34.17</v>
      </c>
      <c r="D14" s="157">
        <v>31.18</v>
      </c>
      <c r="E14" s="157">
        <v>30.97</v>
      </c>
      <c r="F14" s="157">
        <v>33.47</v>
      </c>
      <c r="G14" s="157">
        <v>37.909999999999997</v>
      </c>
      <c r="H14" s="157">
        <v>37.64</v>
      </c>
      <c r="I14" s="157">
        <v>36.979999999999997</v>
      </c>
      <c r="J14" s="157">
        <v>38.159999999999997</v>
      </c>
      <c r="K14" s="157">
        <v>38.17</v>
      </c>
      <c r="L14" s="157">
        <v>39.71</v>
      </c>
      <c r="M14" s="157">
        <v>39.79</v>
      </c>
      <c r="N14" s="157">
        <v>40.78</v>
      </c>
      <c r="O14" s="157">
        <v>41.75</v>
      </c>
      <c r="P14" s="157">
        <v>42.65</v>
      </c>
      <c r="Q14" s="157">
        <v>44.23</v>
      </c>
      <c r="R14" s="157">
        <v>44.46</v>
      </c>
      <c r="S14" s="157">
        <v>43.55</v>
      </c>
      <c r="T14" s="157">
        <v>43.53</v>
      </c>
      <c r="U14" s="157">
        <v>42.7</v>
      </c>
      <c r="V14" s="157">
        <v>44.4</v>
      </c>
      <c r="W14" s="157">
        <v>44.42</v>
      </c>
      <c r="X14" s="157">
        <v>44.01</v>
      </c>
      <c r="Y14" s="157">
        <v>44.31</v>
      </c>
      <c r="Z14" s="157">
        <v>44.64</v>
      </c>
      <c r="AA14" s="157">
        <v>45.67</v>
      </c>
      <c r="AB14" s="157">
        <v>45.77</v>
      </c>
      <c r="AC14" s="157">
        <v>45.69</v>
      </c>
      <c r="AD14" s="157">
        <v>45.46</v>
      </c>
      <c r="AE14" s="158">
        <v>45.79</v>
      </c>
    </row>
    <row r="15" spans="1:31">
      <c r="A15" s="36" t="s">
        <v>101</v>
      </c>
      <c r="B15" s="134" t="s">
        <v>102</v>
      </c>
      <c r="C15" s="157">
        <v>31.82</v>
      </c>
      <c r="D15" s="157">
        <v>30.41</v>
      </c>
      <c r="E15" s="157">
        <v>30.45</v>
      </c>
      <c r="F15" s="157">
        <v>32.909999999999997</v>
      </c>
      <c r="G15" s="157">
        <v>38.32</v>
      </c>
      <c r="H15" s="157">
        <v>39.06</v>
      </c>
      <c r="I15" s="157">
        <v>39.92</v>
      </c>
      <c r="J15" s="157">
        <v>41.45</v>
      </c>
      <c r="K15" s="157">
        <v>42.32</v>
      </c>
      <c r="L15" s="157">
        <v>44.07</v>
      </c>
      <c r="M15" s="157">
        <v>44.81</v>
      </c>
      <c r="N15" s="157">
        <v>47.12</v>
      </c>
      <c r="O15" s="157">
        <v>47.83</v>
      </c>
      <c r="P15" s="157">
        <v>49.88</v>
      </c>
      <c r="Q15" s="157">
        <v>51.4</v>
      </c>
      <c r="R15" s="157">
        <v>51.75</v>
      </c>
      <c r="S15" s="157">
        <v>51.29</v>
      </c>
      <c r="T15" s="157">
        <v>50.65</v>
      </c>
      <c r="U15" s="157">
        <v>51.17</v>
      </c>
      <c r="V15" s="157">
        <v>52.13</v>
      </c>
      <c r="W15" s="157">
        <v>51.95</v>
      </c>
      <c r="X15" s="157">
        <v>53.3</v>
      </c>
      <c r="Y15" s="157">
        <v>53.44</v>
      </c>
      <c r="Z15" s="157">
        <v>54.19</v>
      </c>
      <c r="AA15" s="157">
        <v>54.55</v>
      </c>
      <c r="AB15" s="157">
        <v>55.53</v>
      </c>
      <c r="AC15" s="157">
        <v>55.64</v>
      </c>
      <c r="AD15" s="157">
        <v>56.04</v>
      </c>
      <c r="AE15" s="158">
        <v>57.54</v>
      </c>
    </row>
    <row r="16" spans="1:31" ht="15" thickBot="1">
      <c r="A16" s="40" t="s">
        <v>101</v>
      </c>
      <c r="B16" s="135" t="s">
        <v>100</v>
      </c>
      <c r="C16" s="159">
        <v>34.32</v>
      </c>
      <c r="D16" s="159">
        <v>31.81</v>
      </c>
      <c r="E16" s="159">
        <v>31.51</v>
      </c>
      <c r="F16" s="159">
        <v>33.909999999999997</v>
      </c>
      <c r="G16" s="159">
        <v>38.97</v>
      </c>
      <c r="H16" s="159">
        <v>38.520000000000003</v>
      </c>
      <c r="I16" s="159">
        <v>37.71</v>
      </c>
      <c r="J16" s="159">
        <v>38.78</v>
      </c>
      <c r="K16" s="159">
        <v>38.619999999999997</v>
      </c>
      <c r="L16" s="159">
        <v>40.200000000000003</v>
      </c>
      <c r="M16" s="159">
        <v>40.44</v>
      </c>
      <c r="N16" s="159">
        <v>41.32</v>
      </c>
      <c r="O16" s="159">
        <v>42.35</v>
      </c>
      <c r="P16" s="159">
        <v>43.29</v>
      </c>
      <c r="Q16" s="159">
        <v>44.79</v>
      </c>
      <c r="R16" s="159">
        <v>44.96</v>
      </c>
      <c r="S16" s="159">
        <v>43.98</v>
      </c>
      <c r="T16" s="159">
        <v>44.06</v>
      </c>
      <c r="U16" s="159">
        <v>43.27</v>
      </c>
      <c r="V16" s="159">
        <v>44.62</v>
      </c>
      <c r="W16" s="159">
        <v>44.37</v>
      </c>
      <c r="X16" s="159">
        <v>44.09</v>
      </c>
      <c r="Y16" s="159">
        <v>44.63</v>
      </c>
      <c r="Z16" s="159">
        <v>44.68</v>
      </c>
      <c r="AA16" s="159">
        <v>45.44</v>
      </c>
      <c r="AB16" s="159">
        <v>45.5</v>
      </c>
      <c r="AC16" s="159">
        <v>45.65</v>
      </c>
      <c r="AD16" s="159">
        <v>45.51</v>
      </c>
      <c r="AE16" s="160">
        <v>46.31</v>
      </c>
    </row>
    <row r="18" spans="1:31" ht="15" thickBot="1">
      <c r="A18" s="121" t="s">
        <v>104</v>
      </c>
    </row>
    <row r="19" spans="1:31">
      <c r="A19" s="133" t="s">
        <v>103</v>
      </c>
      <c r="B19" s="133" t="s">
        <v>102</v>
      </c>
      <c r="C19" s="161">
        <v>32.833500000000001</v>
      </c>
      <c r="D19" s="162">
        <v>31.122000000000003</v>
      </c>
      <c r="E19" s="162">
        <v>30.880500000000001</v>
      </c>
      <c r="F19" s="162">
        <v>33.326999999999998</v>
      </c>
      <c r="G19" s="162">
        <v>37.579500000000003</v>
      </c>
      <c r="H19" s="162">
        <v>39.102000000000004</v>
      </c>
      <c r="I19" s="162">
        <v>40.141500000000001</v>
      </c>
      <c r="J19" s="162">
        <v>42.073500000000003</v>
      </c>
      <c r="K19" s="162">
        <v>44.352000000000004</v>
      </c>
      <c r="L19" s="162">
        <v>46.189500000000002</v>
      </c>
      <c r="M19" s="162">
        <v>47.2605</v>
      </c>
      <c r="N19" s="162">
        <v>51.733500000000006</v>
      </c>
      <c r="O19" s="162">
        <v>53.056500000000007</v>
      </c>
      <c r="P19" s="162">
        <v>54.988500000000002</v>
      </c>
      <c r="Q19" s="162">
        <v>55.744500000000009</v>
      </c>
      <c r="R19" s="162">
        <v>56.101500000000001</v>
      </c>
      <c r="S19" s="162">
        <v>56.521500000000003</v>
      </c>
      <c r="T19" s="162">
        <v>55.408500000000004</v>
      </c>
      <c r="U19" s="162">
        <v>57.172500000000007</v>
      </c>
      <c r="V19" s="162">
        <v>57.54</v>
      </c>
      <c r="W19" s="162">
        <v>58.800000000000004</v>
      </c>
      <c r="X19" s="162">
        <v>58.957500000000003</v>
      </c>
      <c r="Y19" s="162">
        <v>57.645000000000003</v>
      </c>
      <c r="Z19" s="162">
        <v>58.527000000000001</v>
      </c>
      <c r="AA19" s="162">
        <v>59.766000000000005</v>
      </c>
      <c r="AB19" s="162">
        <v>59.136000000000003</v>
      </c>
      <c r="AC19" s="162">
        <v>58.705500000000001</v>
      </c>
      <c r="AD19" s="162">
        <v>60.228000000000002</v>
      </c>
      <c r="AE19" s="163">
        <v>60.448500000000003</v>
      </c>
    </row>
    <row r="20" spans="1:31">
      <c r="A20" s="134" t="s">
        <v>103</v>
      </c>
      <c r="B20" s="134" t="s">
        <v>100</v>
      </c>
      <c r="C20" s="164">
        <v>35.710499999999996</v>
      </c>
      <c r="D20" s="165">
        <v>33.012</v>
      </c>
      <c r="E20" s="165">
        <v>32.455500000000001</v>
      </c>
      <c r="F20" s="165">
        <v>35.364000000000004</v>
      </c>
      <c r="G20" s="165">
        <v>39.112500000000004</v>
      </c>
      <c r="H20" s="165">
        <v>39.542999999999999</v>
      </c>
      <c r="I20" s="165">
        <v>39.102000000000004</v>
      </c>
      <c r="J20" s="165">
        <v>40.540500000000002</v>
      </c>
      <c r="K20" s="165">
        <v>41.475000000000001</v>
      </c>
      <c r="L20" s="165">
        <v>43.228500000000004</v>
      </c>
      <c r="M20" s="165">
        <v>43.732500000000002</v>
      </c>
      <c r="N20" s="165">
        <v>46.578000000000003</v>
      </c>
      <c r="O20" s="165">
        <v>47.743499999999997</v>
      </c>
      <c r="P20" s="165">
        <v>48.951000000000001</v>
      </c>
      <c r="Q20" s="165">
        <v>49.822500000000005</v>
      </c>
      <c r="R20" s="165">
        <v>50.158500000000004</v>
      </c>
      <c r="S20" s="165">
        <v>49.528500000000001</v>
      </c>
      <c r="T20" s="165">
        <v>49.612500000000004</v>
      </c>
      <c r="U20" s="165">
        <v>49.497</v>
      </c>
      <c r="V20" s="165">
        <v>51.009</v>
      </c>
      <c r="W20" s="165">
        <v>51.471000000000004</v>
      </c>
      <c r="X20" s="165">
        <v>50.452500000000001</v>
      </c>
      <c r="Y20" s="165">
        <v>49.633500000000005</v>
      </c>
      <c r="Z20" s="165">
        <v>49.749000000000002</v>
      </c>
      <c r="AA20" s="165">
        <v>51.5655</v>
      </c>
      <c r="AB20" s="165">
        <v>50.336999999999996</v>
      </c>
      <c r="AC20" s="165">
        <v>50.316000000000003</v>
      </c>
      <c r="AD20" s="165">
        <v>50.652000000000001</v>
      </c>
      <c r="AE20" s="166">
        <v>50.757000000000005</v>
      </c>
    </row>
    <row r="21" spans="1:31">
      <c r="A21" s="134" t="s">
        <v>101</v>
      </c>
      <c r="B21" s="134" t="s">
        <v>102</v>
      </c>
      <c r="C21" s="164">
        <v>33.285000000000004</v>
      </c>
      <c r="D21" s="165">
        <v>32.067</v>
      </c>
      <c r="E21" s="165">
        <v>31.794000000000004</v>
      </c>
      <c r="F21" s="165">
        <v>34.345500000000001</v>
      </c>
      <c r="G21" s="165">
        <v>39.122999999999998</v>
      </c>
      <c r="H21" s="165">
        <v>40.729500000000002</v>
      </c>
      <c r="I21" s="165">
        <v>41.832000000000008</v>
      </c>
      <c r="J21" s="165">
        <v>43.963499999999996</v>
      </c>
      <c r="K21" s="165">
        <v>46.179000000000002</v>
      </c>
      <c r="L21" s="165">
        <v>48.027000000000001</v>
      </c>
      <c r="M21" s="165">
        <v>49.1295</v>
      </c>
      <c r="N21" s="165">
        <v>53.928000000000004</v>
      </c>
      <c r="O21" s="165">
        <v>55.429500000000004</v>
      </c>
      <c r="P21" s="165">
        <v>57.298500000000004</v>
      </c>
      <c r="Q21" s="165">
        <v>57.9495</v>
      </c>
      <c r="R21" s="165">
        <v>58.600500000000004</v>
      </c>
      <c r="S21" s="165">
        <v>58.852499999999999</v>
      </c>
      <c r="T21" s="165">
        <v>58.107000000000006</v>
      </c>
      <c r="U21" s="165">
        <v>59.745000000000005</v>
      </c>
      <c r="V21" s="165">
        <v>60.353999999999999</v>
      </c>
      <c r="W21" s="165">
        <v>60.816000000000003</v>
      </c>
      <c r="X21" s="165">
        <v>61.771500000000003</v>
      </c>
      <c r="Y21" s="165">
        <v>60.3855</v>
      </c>
      <c r="Z21" s="165">
        <v>61.708500000000008</v>
      </c>
      <c r="AA21" s="165">
        <v>62.622</v>
      </c>
      <c r="AB21" s="165">
        <v>62.139000000000003</v>
      </c>
      <c r="AC21" s="165">
        <v>61.824000000000005</v>
      </c>
      <c r="AD21" s="165">
        <v>63.619500000000009</v>
      </c>
      <c r="AE21" s="166">
        <v>64.197000000000003</v>
      </c>
    </row>
    <row r="22" spans="1:31" ht="15" thickBot="1">
      <c r="A22" s="135" t="s">
        <v>101</v>
      </c>
      <c r="B22" s="135" t="s">
        <v>100</v>
      </c>
      <c r="C22" s="167">
        <v>35.857500000000002</v>
      </c>
      <c r="D22" s="168">
        <v>33.715499999999999</v>
      </c>
      <c r="E22" s="168">
        <v>33.033000000000001</v>
      </c>
      <c r="F22" s="168">
        <v>35.658000000000001</v>
      </c>
      <c r="G22" s="168">
        <v>39.921000000000006</v>
      </c>
      <c r="H22" s="168">
        <v>40.277999999999999</v>
      </c>
      <c r="I22" s="168">
        <v>39.7425</v>
      </c>
      <c r="J22" s="168">
        <v>41.107500000000002</v>
      </c>
      <c r="K22" s="168">
        <v>42.125999999999998</v>
      </c>
      <c r="L22" s="168">
        <v>43.711500000000008</v>
      </c>
      <c r="M22" s="168">
        <v>44.320500000000003</v>
      </c>
      <c r="N22" s="168">
        <v>47.124000000000002</v>
      </c>
      <c r="O22" s="168">
        <v>48.594000000000001</v>
      </c>
      <c r="P22" s="168">
        <v>49.686</v>
      </c>
      <c r="Q22" s="168">
        <v>50.505000000000003</v>
      </c>
      <c r="R22" s="168">
        <v>50.799000000000007</v>
      </c>
      <c r="S22" s="168">
        <v>50.368499999999997</v>
      </c>
      <c r="T22" s="168">
        <v>50.494500000000009</v>
      </c>
      <c r="U22" s="168">
        <v>50.588999999999999</v>
      </c>
      <c r="V22" s="168">
        <v>51.513000000000005</v>
      </c>
      <c r="W22" s="168">
        <v>51.985500000000002</v>
      </c>
      <c r="X22" s="168">
        <v>51.166499999999999</v>
      </c>
      <c r="Y22" s="168">
        <v>50.484000000000002</v>
      </c>
      <c r="Z22" s="168">
        <v>50.588999999999999</v>
      </c>
      <c r="AA22" s="168">
        <v>52.195500000000003</v>
      </c>
      <c r="AB22" s="168">
        <v>50.956500000000005</v>
      </c>
      <c r="AC22" s="168">
        <v>51.03</v>
      </c>
      <c r="AD22" s="168">
        <v>51.586500000000008</v>
      </c>
      <c r="AE22" s="169">
        <v>52.100999999999999</v>
      </c>
    </row>
    <row r="23" spans="1:31">
      <c r="A23" s="59"/>
      <c r="B23" s="59"/>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row>
    <row r="24" spans="1:31" ht="15" thickBot="1">
      <c r="A24" s="132" t="s">
        <v>40</v>
      </c>
    </row>
    <row r="25" spans="1:31">
      <c r="B25" s="133" t="s">
        <v>99</v>
      </c>
      <c r="C25" s="155">
        <f t="shared" ref="C25:AE25" si="1">C7</f>
        <v>31.27</v>
      </c>
      <c r="D25" s="155">
        <f t="shared" si="1"/>
        <v>29.64</v>
      </c>
      <c r="E25" s="155">
        <f t="shared" si="1"/>
        <v>29.41</v>
      </c>
      <c r="F25" s="155">
        <f t="shared" si="1"/>
        <v>31.74</v>
      </c>
      <c r="G25" s="155">
        <f t="shared" si="1"/>
        <v>35.79</v>
      </c>
      <c r="H25" s="155">
        <f t="shared" si="1"/>
        <v>37.24</v>
      </c>
      <c r="I25" s="155">
        <f t="shared" si="1"/>
        <v>38.229999999999997</v>
      </c>
      <c r="J25" s="155">
        <f t="shared" si="1"/>
        <v>40.07</v>
      </c>
      <c r="K25" s="155">
        <f t="shared" si="1"/>
        <v>42.24</v>
      </c>
      <c r="L25" s="155">
        <f t="shared" si="1"/>
        <v>43.99</v>
      </c>
      <c r="M25" s="155">
        <f t="shared" si="1"/>
        <v>45.01</v>
      </c>
      <c r="N25" s="155">
        <f t="shared" si="1"/>
        <v>49.27</v>
      </c>
      <c r="O25" s="155">
        <f t="shared" si="1"/>
        <v>50.53</v>
      </c>
      <c r="P25" s="155">
        <f t="shared" si="1"/>
        <v>52.37</v>
      </c>
      <c r="Q25" s="155">
        <f t="shared" si="1"/>
        <v>53.09</v>
      </c>
      <c r="R25" s="155">
        <f t="shared" si="1"/>
        <v>53.43</v>
      </c>
      <c r="S25" s="155">
        <f t="shared" si="1"/>
        <v>53.83</v>
      </c>
      <c r="T25" s="155">
        <f t="shared" si="1"/>
        <v>52.77</v>
      </c>
      <c r="U25" s="155">
        <f t="shared" si="1"/>
        <v>54.45</v>
      </c>
      <c r="V25" s="155">
        <f t="shared" si="1"/>
        <v>54.8</v>
      </c>
      <c r="W25" s="155">
        <f t="shared" si="1"/>
        <v>56</v>
      </c>
      <c r="X25" s="155">
        <f t="shared" si="1"/>
        <v>56.15</v>
      </c>
      <c r="Y25" s="155">
        <f t="shared" si="1"/>
        <v>54.9</v>
      </c>
      <c r="Z25" s="155">
        <f t="shared" si="1"/>
        <v>55.74</v>
      </c>
      <c r="AA25" s="155">
        <f t="shared" si="1"/>
        <v>56.92</v>
      </c>
      <c r="AB25" s="155">
        <f t="shared" si="1"/>
        <v>56.32</v>
      </c>
      <c r="AC25" s="155">
        <f t="shared" si="1"/>
        <v>55.91</v>
      </c>
      <c r="AD25" s="155">
        <f t="shared" si="1"/>
        <v>57.36</v>
      </c>
      <c r="AE25" s="156">
        <f t="shared" si="1"/>
        <v>57.57</v>
      </c>
    </row>
    <row r="26" spans="1:31">
      <c r="B26" s="134" t="s">
        <v>98</v>
      </c>
      <c r="C26" s="157">
        <f t="shared" ref="C26:AE26" si="2">C8</f>
        <v>34.01</v>
      </c>
      <c r="D26" s="157">
        <f t="shared" si="2"/>
        <v>31.44</v>
      </c>
      <c r="E26" s="157">
        <f t="shared" si="2"/>
        <v>30.91</v>
      </c>
      <c r="F26" s="157">
        <f t="shared" si="2"/>
        <v>33.68</v>
      </c>
      <c r="G26" s="157">
        <f t="shared" si="2"/>
        <v>37.25</v>
      </c>
      <c r="H26" s="157">
        <f t="shared" si="2"/>
        <v>37.659999999999997</v>
      </c>
      <c r="I26" s="157">
        <f t="shared" si="2"/>
        <v>37.24</v>
      </c>
      <c r="J26" s="157">
        <f t="shared" si="2"/>
        <v>38.61</v>
      </c>
      <c r="K26" s="157">
        <f t="shared" si="2"/>
        <v>39.5</v>
      </c>
      <c r="L26" s="157">
        <f t="shared" si="2"/>
        <v>41.17</v>
      </c>
      <c r="M26" s="157">
        <f t="shared" si="2"/>
        <v>41.65</v>
      </c>
      <c r="N26" s="157">
        <f t="shared" si="2"/>
        <v>44.36</v>
      </c>
      <c r="O26" s="157">
        <f t="shared" si="2"/>
        <v>45.47</v>
      </c>
      <c r="P26" s="157">
        <f t="shared" si="2"/>
        <v>46.62</v>
      </c>
      <c r="Q26" s="157">
        <f t="shared" si="2"/>
        <v>47.45</v>
      </c>
      <c r="R26" s="157">
        <f t="shared" si="2"/>
        <v>47.77</v>
      </c>
      <c r="S26" s="157">
        <f t="shared" si="2"/>
        <v>47.17</v>
      </c>
      <c r="T26" s="157">
        <f t="shared" si="2"/>
        <v>47.25</v>
      </c>
      <c r="U26" s="157">
        <f t="shared" si="2"/>
        <v>47.14</v>
      </c>
      <c r="V26" s="157">
        <f t="shared" si="2"/>
        <v>48.58</v>
      </c>
      <c r="W26" s="157">
        <f t="shared" si="2"/>
        <v>49.02</v>
      </c>
      <c r="X26" s="157">
        <f t="shared" si="2"/>
        <v>48.05</v>
      </c>
      <c r="Y26" s="157">
        <f t="shared" si="2"/>
        <v>47.27</v>
      </c>
      <c r="Z26" s="157">
        <f t="shared" si="2"/>
        <v>47.38</v>
      </c>
      <c r="AA26" s="157">
        <f t="shared" si="2"/>
        <v>49.11</v>
      </c>
      <c r="AB26" s="157">
        <f t="shared" si="2"/>
        <v>47.94</v>
      </c>
      <c r="AC26" s="157">
        <f t="shared" si="2"/>
        <v>47.92</v>
      </c>
      <c r="AD26" s="157">
        <f t="shared" si="2"/>
        <v>48.24</v>
      </c>
      <c r="AE26" s="158">
        <f t="shared" si="2"/>
        <v>48.34</v>
      </c>
    </row>
    <row r="27" spans="1:31" ht="15" thickBot="1">
      <c r="B27" s="135" t="s">
        <v>42</v>
      </c>
      <c r="C27" s="159">
        <f t="shared" ref="C27:AE27" si="3">C26-C25</f>
        <v>2.7399999999999984</v>
      </c>
      <c r="D27" s="159">
        <f t="shared" si="3"/>
        <v>1.8000000000000007</v>
      </c>
      <c r="E27" s="159">
        <f t="shared" si="3"/>
        <v>1.5</v>
      </c>
      <c r="F27" s="159">
        <f t="shared" si="3"/>
        <v>1.9400000000000013</v>
      </c>
      <c r="G27" s="159">
        <f t="shared" si="3"/>
        <v>1.4600000000000009</v>
      </c>
      <c r="H27" s="159">
        <f t="shared" si="3"/>
        <v>0.4199999999999946</v>
      </c>
      <c r="I27" s="159">
        <f t="shared" si="3"/>
        <v>-0.98999999999999488</v>
      </c>
      <c r="J27" s="159">
        <f t="shared" si="3"/>
        <v>-1.4600000000000009</v>
      </c>
      <c r="K27" s="159">
        <f t="shared" si="3"/>
        <v>-2.740000000000002</v>
      </c>
      <c r="L27" s="159">
        <f t="shared" si="3"/>
        <v>-2.8200000000000003</v>
      </c>
      <c r="M27" s="159">
        <f t="shared" si="3"/>
        <v>-3.3599999999999994</v>
      </c>
      <c r="N27" s="159">
        <f t="shared" si="3"/>
        <v>-4.9100000000000037</v>
      </c>
      <c r="O27" s="159">
        <f t="shared" si="3"/>
        <v>-5.0600000000000023</v>
      </c>
      <c r="P27" s="159">
        <f t="shared" si="3"/>
        <v>-5.75</v>
      </c>
      <c r="Q27" s="159">
        <f t="shared" si="3"/>
        <v>-5.6400000000000006</v>
      </c>
      <c r="R27" s="159">
        <f t="shared" si="3"/>
        <v>-5.6599999999999966</v>
      </c>
      <c r="S27" s="159">
        <f t="shared" si="3"/>
        <v>-6.6599999999999966</v>
      </c>
      <c r="T27" s="159">
        <f t="shared" si="3"/>
        <v>-5.5200000000000031</v>
      </c>
      <c r="U27" s="159">
        <f t="shared" si="3"/>
        <v>-7.3100000000000023</v>
      </c>
      <c r="V27" s="159">
        <f t="shared" si="3"/>
        <v>-6.2199999999999989</v>
      </c>
      <c r="W27" s="159">
        <f t="shared" si="3"/>
        <v>-6.9799999999999969</v>
      </c>
      <c r="X27" s="159">
        <f t="shared" si="3"/>
        <v>-8.1000000000000014</v>
      </c>
      <c r="Y27" s="159">
        <f t="shared" si="3"/>
        <v>-7.6299999999999955</v>
      </c>
      <c r="Z27" s="159">
        <f t="shared" si="3"/>
        <v>-8.36</v>
      </c>
      <c r="AA27" s="159">
        <f t="shared" si="3"/>
        <v>-7.8100000000000023</v>
      </c>
      <c r="AB27" s="159">
        <f t="shared" si="3"/>
        <v>-8.3800000000000026</v>
      </c>
      <c r="AC27" s="159">
        <f t="shared" si="3"/>
        <v>-7.9899999999999949</v>
      </c>
      <c r="AD27" s="159">
        <f t="shared" si="3"/>
        <v>-9.1199999999999974</v>
      </c>
      <c r="AE27" s="160">
        <f t="shared" si="3"/>
        <v>-9.2299999999999969</v>
      </c>
    </row>
    <row r="28" spans="1:31" ht="15" thickBot="1"/>
    <row r="29" spans="1:31">
      <c r="B29" s="133" t="s">
        <v>97</v>
      </c>
      <c r="C29" s="161">
        <f t="shared" ref="C29:AE29" si="4">C19</f>
        <v>32.833500000000001</v>
      </c>
      <c r="D29" s="162">
        <f t="shared" si="4"/>
        <v>31.122000000000003</v>
      </c>
      <c r="E29" s="162">
        <f t="shared" si="4"/>
        <v>30.880500000000001</v>
      </c>
      <c r="F29" s="162">
        <f t="shared" si="4"/>
        <v>33.326999999999998</v>
      </c>
      <c r="G29" s="162">
        <f t="shared" si="4"/>
        <v>37.579500000000003</v>
      </c>
      <c r="H29" s="162">
        <f t="shared" si="4"/>
        <v>39.102000000000004</v>
      </c>
      <c r="I29" s="162">
        <f t="shared" si="4"/>
        <v>40.141500000000001</v>
      </c>
      <c r="J29" s="162">
        <f t="shared" si="4"/>
        <v>42.073500000000003</v>
      </c>
      <c r="K29" s="162">
        <f t="shared" si="4"/>
        <v>44.352000000000004</v>
      </c>
      <c r="L29" s="162">
        <f t="shared" si="4"/>
        <v>46.189500000000002</v>
      </c>
      <c r="M29" s="162">
        <f t="shared" si="4"/>
        <v>47.2605</v>
      </c>
      <c r="N29" s="162">
        <f t="shared" si="4"/>
        <v>51.733500000000006</v>
      </c>
      <c r="O29" s="162">
        <f t="shared" si="4"/>
        <v>53.056500000000007</v>
      </c>
      <c r="P29" s="162">
        <f t="shared" si="4"/>
        <v>54.988500000000002</v>
      </c>
      <c r="Q29" s="162">
        <f t="shared" si="4"/>
        <v>55.744500000000009</v>
      </c>
      <c r="R29" s="162">
        <f t="shared" si="4"/>
        <v>56.101500000000001</v>
      </c>
      <c r="S29" s="162">
        <f t="shared" si="4"/>
        <v>56.521500000000003</v>
      </c>
      <c r="T29" s="162">
        <f t="shared" si="4"/>
        <v>55.408500000000004</v>
      </c>
      <c r="U29" s="162">
        <f t="shared" si="4"/>
        <v>57.172500000000007</v>
      </c>
      <c r="V29" s="162">
        <f t="shared" si="4"/>
        <v>57.54</v>
      </c>
      <c r="W29" s="162">
        <f t="shared" si="4"/>
        <v>58.800000000000004</v>
      </c>
      <c r="X29" s="162">
        <f t="shared" si="4"/>
        <v>58.957500000000003</v>
      </c>
      <c r="Y29" s="162">
        <f t="shared" si="4"/>
        <v>57.645000000000003</v>
      </c>
      <c r="Z29" s="162">
        <f t="shared" si="4"/>
        <v>58.527000000000001</v>
      </c>
      <c r="AA29" s="162">
        <f t="shared" si="4"/>
        <v>59.766000000000005</v>
      </c>
      <c r="AB29" s="162">
        <f t="shared" si="4"/>
        <v>59.136000000000003</v>
      </c>
      <c r="AC29" s="162">
        <f t="shared" si="4"/>
        <v>58.705500000000001</v>
      </c>
      <c r="AD29" s="162">
        <f t="shared" si="4"/>
        <v>60.228000000000002</v>
      </c>
      <c r="AE29" s="163">
        <f t="shared" si="4"/>
        <v>60.448500000000003</v>
      </c>
    </row>
    <row r="30" spans="1:31">
      <c r="B30" s="134" t="s">
        <v>96</v>
      </c>
      <c r="C30" s="170">
        <f t="shared" ref="C30:AE30" si="5">C14</f>
        <v>34.17</v>
      </c>
      <c r="D30" s="157">
        <f t="shared" si="5"/>
        <v>31.18</v>
      </c>
      <c r="E30" s="157">
        <f t="shared" si="5"/>
        <v>30.97</v>
      </c>
      <c r="F30" s="157">
        <f t="shared" si="5"/>
        <v>33.47</v>
      </c>
      <c r="G30" s="157">
        <f t="shared" si="5"/>
        <v>37.909999999999997</v>
      </c>
      <c r="H30" s="157">
        <f t="shared" si="5"/>
        <v>37.64</v>
      </c>
      <c r="I30" s="157">
        <f t="shared" si="5"/>
        <v>36.979999999999997</v>
      </c>
      <c r="J30" s="157">
        <f t="shared" si="5"/>
        <v>38.159999999999997</v>
      </c>
      <c r="K30" s="157">
        <f t="shared" si="5"/>
        <v>38.17</v>
      </c>
      <c r="L30" s="157">
        <f t="shared" si="5"/>
        <v>39.71</v>
      </c>
      <c r="M30" s="157">
        <f t="shared" si="5"/>
        <v>39.79</v>
      </c>
      <c r="N30" s="157">
        <f t="shared" si="5"/>
        <v>40.78</v>
      </c>
      <c r="O30" s="157">
        <f t="shared" si="5"/>
        <v>41.75</v>
      </c>
      <c r="P30" s="157">
        <f t="shared" si="5"/>
        <v>42.65</v>
      </c>
      <c r="Q30" s="157">
        <f t="shared" si="5"/>
        <v>44.23</v>
      </c>
      <c r="R30" s="157">
        <f t="shared" si="5"/>
        <v>44.46</v>
      </c>
      <c r="S30" s="157">
        <f t="shared" si="5"/>
        <v>43.55</v>
      </c>
      <c r="T30" s="157">
        <f t="shared" si="5"/>
        <v>43.53</v>
      </c>
      <c r="U30" s="157">
        <f t="shared" si="5"/>
        <v>42.7</v>
      </c>
      <c r="V30" s="157">
        <f t="shared" si="5"/>
        <v>44.4</v>
      </c>
      <c r="W30" s="157">
        <f t="shared" si="5"/>
        <v>44.42</v>
      </c>
      <c r="X30" s="157">
        <f t="shared" si="5"/>
        <v>44.01</v>
      </c>
      <c r="Y30" s="157">
        <f t="shared" si="5"/>
        <v>44.31</v>
      </c>
      <c r="Z30" s="157">
        <f t="shared" si="5"/>
        <v>44.64</v>
      </c>
      <c r="AA30" s="157">
        <f t="shared" si="5"/>
        <v>45.67</v>
      </c>
      <c r="AB30" s="157">
        <f t="shared" si="5"/>
        <v>45.77</v>
      </c>
      <c r="AC30" s="157">
        <f t="shared" si="5"/>
        <v>45.69</v>
      </c>
      <c r="AD30" s="157">
        <f t="shared" si="5"/>
        <v>45.46</v>
      </c>
      <c r="AE30" s="158">
        <f t="shared" si="5"/>
        <v>45.79</v>
      </c>
    </row>
    <row r="31" spans="1:31" ht="15" thickBot="1">
      <c r="B31" s="135" t="s">
        <v>42</v>
      </c>
      <c r="C31" s="167">
        <f t="shared" ref="C31:AE31" si="6">C30-C29</f>
        <v>1.3365000000000009</v>
      </c>
      <c r="D31" s="168">
        <f t="shared" si="6"/>
        <v>5.7999999999996277E-2</v>
      </c>
      <c r="E31" s="168">
        <f t="shared" si="6"/>
        <v>8.949999999999747E-2</v>
      </c>
      <c r="F31" s="168">
        <f t="shared" si="6"/>
        <v>0.14300000000000068</v>
      </c>
      <c r="G31" s="168">
        <f t="shared" si="6"/>
        <v>0.33049999999999358</v>
      </c>
      <c r="H31" s="168">
        <f t="shared" si="6"/>
        <v>-1.4620000000000033</v>
      </c>
      <c r="I31" s="168">
        <f t="shared" si="6"/>
        <v>-3.1615000000000038</v>
      </c>
      <c r="J31" s="168">
        <f t="shared" si="6"/>
        <v>-3.9135000000000062</v>
      </c>
      <c r="K31" s="168">
        <f t="shared" si="6"/>
        <v>-6.1820000000000022</v>
      </c>
      <c r="L31" s="168">
        <f t="shared" si="6"/>
        <v>-6.4795000000000016</v>
      </c>
      <c r="M31" s="168">
        <f t="shared" si="6"/>
        <v>-7.4705000000000013</v>
      </c>
      <c r="N31" s="168">
        <f t="shared" si="6"/>
        <v>-10.953500000000005</v>
      </c>
      <c r="O31" s="168">
        <f t="shared" si="6"/>
        <v>-11.306500000000007</v>
      </c>
      <c r="P31" s="168">
        <f t="shared" si="6"/>
        <v>-12.338500000000003</v>
      </c>
      <c r="Q31" s="168">
        <f t="shared" si="6"/>
        <v>-11.514500000000012</v>
      </c>
      <c r="R31" s="168">
        <f t="shared" si="6"/>
        <v>-11.641500000000001</v>
      </c>
      <c r="S31" s="168">
        <f t="shared" si="6"/>
        <v>-12.971500000000006</v>
      </c>
      <c r="T31" s="168">
        <f t="shared" si="6"/>
        <v>-11.878500000000003</v>
      </c>
      <c r="U31" s="168">
        <f t="shared" si="6"/>
        <v>-14.472500000000004</v>
      </c>
      <c r="V31" s="168">
        <f t="shared" si="6"/>
        <v>-13.14</v>
      </c>
      <c r="W31" s="168">
        <f t="shared" si="6"/>
        <v>-14.380000000000003</v>
      </c>
      <c r="X31" s="168">
        <f t="shared" si="6"/>
        <v>-14.947500000000005</v>
      </c>
      <c r="Y31" s="168">
        <f t="shared" si="6"/>
        <v>-13.335000000000001</v>
      </c>
      <c r="Z31" s="168">
        <f t="shared" si="6"/>
        <v>-13.887</v>
      </c>
      <c r="AA31" s="168">
        <f t="shared" si="6"/>
        <v>-14.096000000000004</v>
      </c>
      <c r="AB31" s="168">
        <f t="shared" si="6"/>
        <v>-13.366</v>
      </c>
      <c r="AC31" s="168">
        <f t="shared" si="6"/>
        <v>-13.015500000000003</v>
      </c>
      <c r="AD31" s="168">
        <f t="shared" si="6"/>
        <v>-14.768000000000001</v>
      </c>
      <c r="AE31" s="169">
        <f t="shared" si="6"/>
        <v>-14.658500000000004</v>
      </c>
    </row>
    <row r="32" spans="1:31" ht="15" thickBot="1"/>
    <row r="33" spans="1:31">
      <c r="B33" s="133" t="s">
        <v>95</v>
      </c>
      <c r="C33" s="171">
        <f t="shared" ref="C33:AE33" si="7">C13</f>
        <v>31.41</v>
      </c>
      <c r="D33" s="155">
        <f t="shared" si="7"/>
        <v>29.56</v>
      </c>
      <c r="E33" s="155">
        <f t="shared" si="7"/>
        <v>29.6</v>
      </c>
      <c r="F33" s="155">
        <f t="shared" si="7"/>
        <v>31.77</v>
      </c>
      <c r="G33" s="155">
        <f t="shared" si="7"/>
        <v>36.619999999999997</v>
      </c>
      <c r="H33" s="155">
        <f t="shared" si="7"/>
        <v>37.35</v>
      </c>
      <c r="I33" s="155">
        <f t="shared" si="7"/>
        <v>38.19</v>
      </c>
      <c r="J33" s="155">
        <f t="shared" si="7"/>
        <v>39.6</v>
      </c>
      <c r="K33" s="155">
        <f t="shared" si="7"/>
        <v>40.78</v>
      </c>
      <c r="L33" s="155">
        <f t="shared" si="7"/>
        <v>42.42</v>
      </c>
      <c r="M33" s="155">
        <f t="shared" si="7"/>
        <v>43.03</v>
      </c>
      <c r="N33" s="155">
        <f t="shared" si="7"/>
        <v>45.28</v>
      </c>
      <c r="O33" s="155">
        <f t="shared" si="7"/>
        <v>46.06</v>
      </c>
      <c r="P33" s="155">
        <f t="shared" si="7"/>
        <v>48.05</v>
      </c>
      <c r="Q33" s="155">
        <f t="shared" si="7"/>
        <v>49.67</v>
      </c>
      <c r="R33" s="155">
        <f t="shared" si="7"/>
        <v>49.97</v>
      </c>
      <c r="S33" s="155">
        <f t="shared" si="7"/>
        <v>49.69</v>
      </c>
      <c r="T33" s="155">
        <f t="shared" si="7"/>
        <v>48.85</v>
      </c>
      <c r="U33" s="155">
        <f t="shared" si="7"/>
        <v>49.46</v>
      </c>
      <c r="V33" s="155">
        <f t="shared" si="7"/>
        <v>50.51</v>
      </c>
      <c r="W33" s="155">
        <f t="shared" si="7"/>
        <v>50.93</v>
      </c>
      <c r="X33" s="155">
        <f t="shared" si="7"/>
        <v>51.83</v>
      </c>
      <c r="Y33" s="155">
        <f t="shared" si="7"/>
        <v>51.87</v>
      </c>
      <c r="Z33" s="155">
        <f t="shared" si="7"/>
        <v>52.55</v>
      </c>
      <c r="AA33" s="155">
        <f t="shared" si="7"/>
        <v>53.07</v>
      </c>
      <c r="AB33" s="155">
        <f t="shared" si="7"/>
        <v>54</v>
      </c>
      <c r="AC33" s="155">
        <f t="shared" si="7"/>
        <v>53.72</v>
      </c>
      <c r="AD33" s="155">
        <f t="shared" si="7"/>
        <v>53.97</v>
      </c>
      <c r="AE33" s="156">
        <f t="shared" si="7"/>
        <v>54.72</v>
      </c>
    </row>
    <row r="34" spans="1:31">
      <c r="B34" s="134" t="s">
        <v>94</v>
      </c>
      <c r="C34" s="164">
        <f t="shared" ref="C34:AE34" si="8">C20</f>
        <v>35.710499999999996</v>
      </c>
      <c r="D34" s="165">
        <f t="shared" si="8"/>
        <v>33.012</v>
      </c>
      <c r="E34" s="165">
        <f t="shared" si="8"/>
        <v>32.455500000000001</v>
      </c>
      <c r="F34" s="165">
        <f t="shared" si="8"/>
        <v>35.364000000000004</v>
      </c>
      <c r="G34" s="165">
        <f t="shared" si="8"/>
        <v>39.112500000000004</v>
      </c>
      <c r="H34" s="165">
        <f t="shared" si="8"/>
        <v>39.542999999999999</v>
      </c>
      <c r="I34" s="165">
        <f t="shared" si="8"/>
        <v>39.102000000000004</v>
      </c>
      <c r="J34" s="165">
        <f t="shared" si="8"/>
        <v>40.540500000000002</v>
      </c>
      <c r="K34" s="165">
        <f t="shared" si="8"/>
        <v>41.475000000000001</v>
      </c>
      <c r="L34" s="165">
        <f t="shared" si="8"/>
        <v>43.228500000000004</v>
      </c>
      <c r="M34" s="165">
        <f t="shared" si="8"/>
        <v>43.732500000000002</v>
      </c>
      <c r="N34" s="165">
        <f t="shared" si="8"/>
        <v>46.578000000000003</v>
      </c>
      <c r="O34" s="165">
        <f t="shared" si="8"/>
        <v>47.743499999999997</v>
      </c>
      <c r="P34" s="165">
        <f t="shared" si="8"/>
        <v>48.951000000000001</v>
      </c>
      <c r="Q34" s="165">
        <f t="shared" si="8"/>
        <v>49.822500000000005</v>
      </c>
      <c r="R34" s="165">
        <f t="shared" si="8"/>
        <v>50.158500000000004</v>
      </c>
      <c r="S34" s="165">
        <f t="shared" si="8"/>
        <v>49.528500000000001</v>
      </c>
      <c r="T34" s="165">
        <f t="shared" si="8"/>
        <v>49.612500000000004</v>
      </c>
      <c r="U34" s="165">
        <f t="shared" si="8"/>
        <v>49.497</v>
      </c>
      <c r="V34" s="165">
        <f t="shared" si="8"/>
        <v>51.009</v>
      </c>
      <c r="W34" s="165">
        <f t="shared" si="8"/>
        <v>51.471000000000004</v>
      </c>
      <c r="X34" s="165">
        <f t="shared" si="8"/>
        <v>50.452500000000001</v>
      </c>
      <c r="Y34" s="165">
        <f t="shared" si="8"/>
        <v>49.633500000000005</v>
      </c>
      <c r="Z34" s="165">
        <f t="shared" si="8"/>
        <v>49.749000000000002</v>
      </c>
      <c r="AA34" s="165">
        <f t="shared" si="8"/>
        <v>51.5655</v>
      </c>
      <c r="AB34" s="165">
        <f t="shared" si="8"/>
        <v>50.336999999999996</v>
      </c>
      <c r="AC34" s="165">
        <f t="shared" si="8"/>
        <v>50.316000000000003</v>
      </c>
      <c r="AD34" s="165">
        <f t="shared" si="8"/>
        <v>50.652000000000001</v>
      </c>
      <c r="AE34" s="166">
        <f t="shared" si="8"/>
        <v>50.757000000000005</v>
      </c>
    </row>
    <row r="35" spans="1:31" ht="15" thickBot="1">
      <c r="B35" s="135" t="s">
        <v>42</v>
      </c>
      <c r="C35" s="167">
        <f t="shared" ref="C35:AE35" si="9">C34-C33</f>
        <v>4.300499999999996</v>
      </c>
      <c r="D35" s="168">
        <f t="shared" si="9"/>
        <v>3.4520000000000017</v>
      </c>
      <c r="E35" s="168">
        <f t="shared" si="9"/>
        <v>2.8554999999999993</v>
      </c>
      <c r="F35" s="168">
        <f t="shared" si="9"/>
        <v>3.5940000000000047</v>
      </c>
      <c r="G35" s="168">
        <f t="shared" si="9"/>
        <v>2.4925000000000068</v>
      </c>
      <c r="H35" s="168">
        <f t="shared" si="9"/>
        <v>2.1929999999999978</v>
      </c>
      <c r="I35" s="168">
        <f t="shared" si="9"/>
        <v>0.91200000000000614</v>
      </c>
      <c r="J35" s="168">
        <f t="shared" si="9"/>
        <v>0.94050000000000011</v>
      </c>
      <c r="K35" s="168">
        <f t="shared" si="9"/>
        <v>0.69500000000000028</v>
      </c>
      <c r="L35" s="168">
        <f t="shared" si="9"/>
        <v>0.80850000000000222</v>
      </c>
      <c r="M35" s="168">
        <f t="shared" si="9"/>
        <v>0.70250000000000057</v>
      </c>
      <c r="N35" s="168">
        <f t="shared" si="9"/>
        <v>1.2980000000000018</v>
      </c>
      <c r="O35" s="168">
        <f t="shared" si="9"/>
        <v>1.6834999999999951</v>
      </c>
      <c r="P35" s="168">
        <f t="shared" si="9"/>
        <v>0.90100000000000335</v>
      </c>
      <c r="Q35" s="168">
        <f t="shared" si="9"/>
        <v>0.15250000000000341</v>
      </c>
      <c r="R35" s="168">
        <f t="shared" si="9"/>
        <v>0.18850000000000477</v>
      </c>
      <c r="S35" s="168">
        <f t="shared" si="9"/>
        <v>-0.16149999999999665</v>
      </c>
      <c r="T35" s="168">
        <f t="shared" si="9"/>
        <v>0.76250000000000284</v>
      </c>
      <c r="U35" s="168">
        <f t="shared" si="9"/>
        <v>3.6999999999999034E-2</v>
      </c>
      <c r="V35" s="168">
        <f t="shared" si="9"/>
        <v>0.49900000000000233</v>
      </c>
      <c r="W35" s="168">
        <f t="shared" si="9"/>
        <v>0.54100000000000392</v>
      </c>
      <c r="X35" s="168">
        <f t="shared" si="9"/>
        <v>-1.3774999999999977</v>
      </c>
      <c r="Y35" s="168">
        <f t="shared" si="9"/>
        <v>-2.2364999999999924</v>
      </c>
      <c r="Z35" s="168">
        <f t="shared" si="9"/>
        <v>-2.8009999999999948</v>
      </c>
      <c r="AA35" s="168">
        <f t="shared" si="9"/>
        <v>-1.5045000000000002</v>
      </c>
      <c r="AB35" s="168">
        <f t="shared" si="9"/>
        <v>-3.6630000000000038</v>
      </c>
      <c r="AC35" s="168">
        <f t="shared" si="9"/>
        <v>-3.4039999999999964</v>
      </c>
      <c r="AD35" s="168">
        <f t="shared" si="9"/>
        <v>-3.3179999999999978</v>
      </c>
      <c r="AE35" s="169">
        <f t="shared" si="9"/>
        <v>-3.9629999999999939</v>
      </c>
    </row>
    <row r="36" spans="1:31" ht="15" thickBot="1"/>
    <row r="37" spans="1:31">
      <c r="A37" s="132" t="s">
        <v>0</v>
      </c>
      <c r="B37" s="133" t="s">
        <v>99</v>
      </c>
      <c r="C37" s="171">
        <f t="shared" ref="C37:AE37" si="10">C9</f>
        <v>31.7</v>
      </c>
      <c r="D37" s="155">
        <f t="shared" si="10"/>
        <v>30.54</v>
      </c>
      <c r="E37" s="155">
        <f t="shared" si="10"/>
        <v>30.28</v>
      </c>
      <c r="F37" s="155">
        <f t="shared" si="10"/>
        <v>32.71</v>
      </c>
      <c r="G37" s="155">
        <f t="shared" si="10"/>
        <v>37.26</v>
      </c>
      <c r="H37" s="155">
        <f t="shared" si="10"/>
        <v>38.79</v>
      </c>
      <c r="I37" s="155">
        <f t="shared" si="10"/>
        <v>39.840000000000003</v>
      </c>
      <c r="J37" s="155">
        <f t="shared" si="10"/>
        <v>41.87</v>
      </c>
      <c r="K37" s="155">
        <f t="shared" si="10"/>
        <v>43.98</v>
      </c>
      <c r="L37" s="155">
        <f t="shared" si="10"/>
        <v>45.74</v>
      </c>
      <c r="M37" s="155">
        <f t="shared" si="10"/>
        <v>46.79</v>
      </c>
      <c r="N37" s="155">
        <f t="shared" si="10"/>
        <v>51.36</v>
      </c>
      <c r="O37" s="155">
        <f t="shared" si="10"/>
        <v>52.79</v>
      </c>
      <c r="P37" s="155">
        <f t="shared" si="10"/>
        <v>54.57</v>
      </c>
      <c r="Q37" s="155">
        <f t="shared" si="10"/>
        <v>55.19</v>
      </c>
      <c r="R37" s="155">
        <f t="shared" si="10"/>
        <v>55.81</v>
      </c>
      <c r="S37" s="155">
        <f t="shared" si="10"/>
        <v>56.05</v>
      </c>
      <c r="T37" s="155">
        <f t="shared" si="10"/>
        <v>55.34</v>
      </c>
      <c r="U37" s="155">
        <f t="shared" si="10"/>
        <v>56.9</v>
      </c>
      <c r="V37" s="155">
        <f t="shared" si="10"/>
        <v>57.48</v>
      </c>
      <c r="W37" s="155">
        <f t="shared" si="10"/>
        <v>57.92</v>
      </c>
      <c r="X37" s="155">
        <f t="shared" si="10"/>
        <v>58.83</v>
      </c>
      <c r="Y37" s="155">
        <f t="shared" si="10"/>
        <v>57.51</v>
      </c>
      <c r="Z37" s="155">
        <f t="shared" si="10"/>
        <v>58.77</v>
      </c>
      <c r="AA37" s="155">
        <f t="shared" si="10"/>
        <v>59.64</v>
      </c>
      <c r="AB37" s="155">
        <f t="shared" si="10"/>
        <v>59.18</v>
      </c>
      <c r="AC37" s="155">
        <f t="shared" si="10"/>
        <v>58.88</v>
      </c>
      <c r="AD37" s="155">
        <f t="shared" si="10"/>
        <v>60.59</v>
      </c>
      <c r="AE37" s="156">
        <f t="shared" si="10"/>
        <v>61.14</v>
      </c>
    </row>
    <row r="38" spans="1:31">
      <c r="B38" s="134" t="s">
        <v>98</v>
      </c>
      <c r="C38" s="170">
        <f t="shared" ref="C38:AE38" si="11">C10</f>
        <v>34.15</v>
      </c>
      <c r="D38" s="157">
        <f t="shared" si="11"/>
        <v>32.11</v>
      </c>
      <c r="E38" s="157">
        <f t="shared" si="11"/>
        <v>31.46</v>
      </c>
      <c r="F38" s="157">
        <f t="shared" si="11"/>
        <v>33.96</v>
      </c>
      <c r="G38" s="157">
        <f t="shared" si="11"/>
        <v>38.020000000000003</v>
      </c>
      <c r="H38" s="157">
        <f t="shared" si="11"/>
        <v>38.36</v>
      </c>
      <c r="I38" s="157">
        <f t="shared" si="11"/>
        <v>37.85</v>
      </c>
      <c r="J38" s="157">
        <f t="shared" si="11"/>
        <v>39.15</v>
      </c>
      <c r="K38" s="157">
        <f t="shared" si="11"/>
        <v>40.119999999999997</v>
      </c>
      <c r="L38" s="157">
        <f t="shared" si="11"/>
        <v>41.63</v>
      </c>
      <c r="M38" s="157">
        <f t="shared" si="11"/>
        <v>42.21</v>
      </c>
      <c r="N38" s="157">
        <f t="shared" si="11"/>
        <v>44.88</v>
      </c>
      <c r="O38" s="157">
        <f t="shared" si="11"/>
        <v>46.28</v>
      </c>
      <c r="P38" s="157">
        <f t="shared" si="11"/>
        <v>47.32</v>
      </c>
      <c r="Q38" s="157">
        <f t="shared" si="11"/>
        <v>48.1</v>
      </c>
      <c r="R38" s="157">
        <f t="shared" si="11"/>
        <v>48.38</v>
      </c>
      <c r="S38" s="157">
        <f t="shared" si="11"/>
        <v>47.97</v>
      </c>
      <c r="T38" s="157">
        <f t="shared" si="11"/>
        <v>48.09</v>
      </c>
      <c r="U38" s="157">
        <f t="shared" si="11"/>
        <v>48.18</v>
      </c>
      <c r="V38" s="157">
        <f t="shared" si="11"/>
        <v>49.06</v>
      </c>
      <c r="W38" s="157">
        <f t="shared" si="11"/>
        <v>49.51</v>
      </c>
      <c r="X38" s="157">
        <f t="shared" si="11"/>
        <v>48.73</v>
      </c>
      <c r="Y38" s="157">
        <f t="shared" si="11"/>
        <v>48.08</v>
      </c>
      <c r="Z38" s="157">
        <f t="shared" si="11"/>
        <v>48.18</v>
      </c>
      <c r="AA38" s="157">
        <f t="shared" si="11"/>
        <v>49.71</v>
      </c>
      <c r="AB38" s="157">
        <f t="shared" si="11"/>
        <v>48.53</v>
      </c>
      <c r="AC38" s="157">
        <f t="shared" si="11"/>
        <v>48.6</v>
      </c>
      <c r="AD38" s="157">
        <f t="shared" si="11"/>
        <v>49.13</v>
      </c>
      <c r="AE38" s="158">
        <f t="shared" si="11"/>
        <v>49.62</v>
      </c>
    </row>
    <row r="39" spans="1:31" ht="15" thickBot="1">
      <c r="B39" s="135" t="s">
        <v>42</v>
      </c>
      <c r="C39" s="167">
        <f t="shared" ref="C39:AE39" si="12">C38-C37</f>
        <v>2.4499999999999993</v>
      </c>
      <c r="D39" s="168">
        <f t="shared" si="12"/>
        <v>1.5700000000000003</v>
      </c>
      <c r="E39" s="168">
        <f t="shared" si="12"/>
        <v>1.1799999999999997</v>
      </c>
      <c r="F39" s="168">
        <f t="shared" si="12"/>
        <v>1.25</v>
      </c>
      <c r="G39" s="168">
        <f t="shared" si="12"/>
        <v>0.76000000000000512</v>
      </c>
      <c r="H39" s="168">
        <f t="shared" si="12"/>
        <v>-0.42999999999999972</v>
      </c>
      <c r="I39" s="168">
        <f t="shared" si="12"/>
        <v>-1.990000000000002</v>
      </c>
      <c r="J39" s="168">
        <f t="shared" si="12"/>
        <v>-2.7199999999999989</v>
      </c>
      <c r="K39" s="168">
        <f t="shared" si="12"/>
        <v>-3.8599999999999994</v>
      </c>
      <c r="L39" s="168">
        <f t="shared" si="12"/>
        <v>-4.1099999999999994</v>
      </c>
      <c r="M39" s="168">
        <f t="shared" si="12"/>
        <v>-4.5799999999999983</v>
      </c>
      <c r="N39" s="168">
        <f t="shared" si="12"/>
        <v>-6.4799999999999969</v>
      </c>
      <c r="O39" s="168">
        <f t="shared" si="12"/>
        <v>-6.509999999999998</v>
      </c>
      <c r="P39" s="168">
        <f t="shared" si="12"/>
        <v>-7.25</v>
      </c>
      <c r="Q39" s="168">
        <f t="shared" si="12"/>
        <v>-7.0899999999999963</v>
      </c>
      <c r="R39" s="168">
        <f t="shared" si="12"/>
        <v>-7.43</v>
      </c>
      <c r="S39" s="168">
        <f t="shared" si="12"/>
        <v>-8.0799999999999983</v>
      </c>
      <c r="T39" s="168">
        <f t="shared" si="12"/>
        <v>-7.25</v>
      </c>
      <c r="U39" s="168">
        <f t="shared" si="12"/>
        <v>-8.7199999999999989</v>
      </c>
      <c r="V39" s="168">
        <f t="shared" si="12"/>
        <v>-8.4199999999999946</v>
      </c>
      <c r="W39" s="168">
        <f t="shared" si="12"/>
        <v>-8.4100000000000037</v>
      </c>
      <c r="X39" s="168">
        <f t="shared" si="12"/>
        <v>-10.100000000000001</v>
      </c>
      <c r="Y39" s="168">
        <f t="shared" si="12"/>
        <v>-9.43</v>
      </c>
      <c r="Z39" s="168">
        <f t="shared" si="12"/>
        <v>-10.590000000000003</v>
      </c>
      <c r="AA39" s="168">
        <f t="shared" si="12"/>
        <v>-9.93</v>
      </c>
      <c r="AB39" s="168">
        <f t="shared" si="12"/>
        <v>-10.649999999999999</v>
      </c>
      <c r="AC39" s="168">
        <f t="shared" si="12"/>
        <v>-10.280000000000001</v>
      </c>
      <c r="AD39" s="168">
        <f t="shared" si="12"/>
        <v>-11.46</v>
      </c>
      <c r="AE39" s="169">
        <f t="shared" si="12"/>
        <v>-11.520000000000003</v>
      </c>
    </row>
    <row r="40" spans="1:31" ht="15" thickBot="1"/>
    <row r="41" spans="1:31">
      <c r="B41" s="133" t="s">
        <v>97</v>
      </c>
      <c r="C41" s="161">
        <f t="shared" ref="C41:AE41" si="13">C21</f>
        <v>33.285000000000004</v>
      </c>
      <c r="D41" s="162">
        <f t="shared" si="13"/>
        <v>32.067</v>
      </c>
      <c r="E41" s="162">
        <f t="shared" si="13"/>
        <v>31.794000000000004</v>
      </c>
      <c r="F41" s="162">
        <f t="shared" si="13"/>
        <v>34.345500000000001</v>
      </c>
      <c r="G41" s="162">
        <f t="shared" si="13"/>
        <v>39.122999999999998</v>
      </c>
      <c r="H41" s="162">
        <f t="shared" si="13"/>
        <v>40.729500000000002</v>
      </c>
      <c r="I41" s="162">
        <f t="shared" si="13"/>
        <v>41.832000000000008</v>
      </c>
      <c r="J41" s="162">
        <f t="shared" si="13"/>
        <v>43.963499999999996</v>
      </c>
      <c r="K41" s="162">
        <f t="shared" si="13"/>
        <v>46.179000000000002</v>
      </c>
      <c r="L41" s="162">
        <f t="shared" si="13"/>
        <v>48.027000000000001</v>
      </c>
      <c r="M41" s="162">
        <f t="shared" si="13"/>
        <v>49.1295</v>
      </c>
      <c r="N41" s="162">
        <f t="shared" si="13"/>
        <v>53.928000000000004</v>
      </c>
      <c r="O41" s="162">
        <f t="shared" si="13"/>
        <v>55.429500000000004</v>
      </c>
      <c r="P41" s="162">
        <f t="shared" si="13"/>
        <v>57.298500000000004</v>
      </c>
      <c r="Q41" s="162">
        <f t="shared" si="13"/>
        <v>57.9495</v>
      </c>
      <c r="R41" s="162">
        <f t="shared" si="13"/>
        <v>58.600500000000004</v>
      </c>
      <c r="S41" s="162">
        <f t="shared" si="13"/>
        <v>58.852499999999999</v>
      </c>
      <c r="T41" s="162">
        <f t="shared" si="13"/>
        <v>58.107000000000006</v>
      </c>
      <c r="U41" s="162">
        <f t="shared" si="13"/>
        <v>59.745000000000005</v>
      </c>
      <c r="V41" s="162">
        <f t="shared" si="13"/>
        <v>60.353999999999999</v>
      </c>
      <c r="W41" s="162">
        <f t="shared" si="13"/>
        <v>60.816000000000003</v>
      </c>
      <c r="X41" s="162">
        <f t="shared" si="13"/>
        <v>61.771500000000003</v>
      </c>
      <c r="Y41" s="162">
        <f t="shared" si="13"/>
        <v>60.3855</v>
      </c>
      <c r="Z41" s="162">
        <f t="shared" si="13"/>
        <v>61.708500000000008</v>
      </c>
      <c r="AA41" s="162">
        <f t="shared" si="13"/>
        <v>62.622</v>
      </c>
      <c r="AB41" s="162">
        <f t="shared" si="13"/>
        <v>62.139000000000003</v>
      </c>
      <c r="AC41" s="162">
        <f t="shared" si="13"/>
        <v>61.824000000000005</v>
      </c>
      <c r="AD41" s="162">
        <f t="shared" si="13"/>
        <v>63.619500000000009</v>
      </c>
      <c r="AE41" s="163">
        <f t="shared" si="13"/>
        <v>64.197000000000003</v>
      </c>
    </row>
    <row r="42" spans="1:31">
      <c r="B42" s="134" t="s">
        <v>96</v>
      </c>
      <c r="C42" s="170">
        <f t="shared" ref="C42:AE42" si="14">C16</f>
        <v>34.32</v>
      </c>
      <c r="D42" s="157">
        <f t="shared" si="14"/>
        <v>31.81</v>
      </c>
      <c r="E42" s="157">
        <f t="shared" si="14"/>
        <v>31.51</v>
      </c>
      <c r="F42" s="157">
        <f t="shared" si="14"/>
        <v>33.909999999999997</v>
      </c>
      <c r="G42" s="157">
        <f t="shared" si="14"/>
        <v>38.97</v>
      </c>
      <c r="H42" s="157">
        <f t="shared" si="14"/>
        <v>38.520000000000003</v>
      </c>
      <c r="I42" s="157">
        <f t="shared" si="14"/>
        <v>37.71</v>
      </c>
      <c r="J42" s="157">
        <f t="shared" si="14"/>
        <v>38.78</v>
      </c>
      <c r="K42" s="157">
        <f t="shared" si="14"/>
        <v>38.619999999999997</v>
      </c>
      <c r="L42" s="157">
        <f t="shared" si="14"/>
        <v>40.200000000000003</v>
      </c>
      <c r="M42" s="157">
        <f t="shared" si="14"/>
        <v>40.44</v>
      </c>
      <c r="N42" s="157">
        <f t="shared" si="14"/>
        <v>41.32</v>
      </c>
      <c r="O42" s="157">
        <f t="shared" si="14"/>
        <v>42.35</v>
      </c>
      <c r="P42" s="157">
        <f t="shared" si="14"/>
        <v>43.29</v>
      </c>
      <c r="Q42" s="157">
        <f t="shared" si="14"/>
        <v>44.79</v>
      </c>
      <c r="R42" s="157">
        <f t="shared" si="14"/>
        <v>44.96</v>
      </c>
      <c r="S42" s="157">
        <f t="shared" si="14"/>
        <v>43.98</v>
      </c>
      <c r="T42" s="157">
        <f t="shared" si="14"/>
        <v>44.06</v>
      </c>
      <c r="U42" s="157">
        <f t="shared" si="14"/>
        <v>43.27</v>
      </c>
      <c r="V42" s="157">
        <f t="shared" si="14"/>
        <v>44.62</v>
      </c>
      <c r="W42" s="157">
        <f t="shared" si="14"/>
        <v>44.37</v>
      </c>
      <c r="X42" s="157">
        <f t="shared" si="14"/>
        <v>44.09</v>
      </c>
      <c r="Y42" s="157">
        <f t="shared" si="14"/>
        <v>44.63</v>
      </c>
      <c r="Z42" s="157">
        <f t="shared" si="14"/>
        <v>44.68</v>
      </c>
      <c r="AA42" s="157">
        <f t="shared" si="14"/>
        <v>45.44</v>
      </c>
      <c r="AB42" s="157">
        <f t="shared" si="14"/>
        <v>45.5</v>
      </c>
      <c r="AC42" s="157">
        <f t="shared" si="14"/>
        <v>45.65</v>
      </c>
      <c r="AD42" s="157">
        <f t="shared" si="14"/>
        <v>45.51</v>
      </c>
      <c r="AE42" s="158">
        <f t="shared" si="14"/>
        <v>46.31</v>
      </c>
    </row>
    <row r="43" spans="1:31" ht="15" thickBot="1">
      <c r="B43" s="135" t="s">
        <v>42</v>
      </c>
      <c r="C43" s="167">
        <f t="shared" ref="C43:AE43" si="15">C42-C41</f>
        <v>1.0349999999999966</v>
      </c>
      <c r="D43" s="168">
        <f t="shared" si="15"/>
        <v>-0.25700000000000145</v>
      </c>
      <c r="E43" s="168">
        <f t="shared" si="15"/>
        <v>-0.28400000000000247</v>
      </c>
      <c r="F43" s="168">
        <f t="shared" si="15"/>
        <v>-0.43550000000000466</v>
      </c>
      <c r="G43" s="168">
        <f t="shared" si="15"/>
        <v>-0.15299999999999869</v>
      </c>
      <c r="H43" s="168">
        <f t="shared" si="15"/>
        <v>-2.2094999999999985</v>
      </c>
      <c r="I43" s="168">
        <f t="shared" si="15"/>
        <v>-4.122000000000007</v>
      </c>
      <c r="J43" s="168">
        <f t="shared" si="15"/>
        <v>-5.1834999999999951</v>
      </c>
      <c r="K43" s="168">
        <f t="shared" si="15"/>
        <v>-7.5590000000000046</v>
      </c>
      <c r="L43" s="168">
        <f t="shared" si="15"/>
        <v>-7.8269999999999982</v>
      </c>
      <c r="M43" s="168">
        <f t="shared" si="15"/>
        <v>-8.6895000000000024</v>
      </c>
      <c r="N43" s="168">
        <f t="shared" si="15"/>
        <v>-12.608000000000004</v>
      </c>
      <c r="O43" s="168">
        <f t="shared" si="15"/>
        <v>-13.079500000000003</v>
      </c>
      <c r="P43" s="168">
        <f t="shared" si="15"/>
        <v>-14.008500000000005</v>
      </c>
      <c r="Q43" s="168">
        <f t="shared" si="15"/>
        <v>-13.159500000000001</v>
      </c>
      <c r="R43" s="168">
        <f t="shared" si="15"/>
        <v>-13.640500000000003</v>
      </c>
      <c r="S43" s="168">
        <f t="shared" si="15"/>
        <v>-14.872500000000002</v>
      </c>
      <c r="T43" s="168">
        <f t="shared" si="15"/>
        <v>-14.047000000000004</v>
      </c>
      <c r="U43" s="168">
        <f t="shared" si="15"/>
        <v>-16.475000000000001</v>
      </c>
      <c r="V43" s="168">
        <f t="shared" si="15"/>
        <v>-15.734000000000002</v>
      </c>
      <c r="W43" s="168">
        <f t="shared" si="15"/>
        <v>-16.446000000000005</v>
      </c>
      <c r="X43" s="168">
        <f t="shared" si="15"/>
        <v>-17.6815</v>
      </c>
      <c r="Y43" s="168">
        <f t="shared" si="15"/>
        <v>-15.755499999999998</v>
      </c>
      <c r="Z43" s="168">
        <f t="shared" si="15"/>
        <v>-17.028500000000008</v>
      </c>
      <c r="AA43" s="168">
        <f t="shared" si="15"/>
        <v>-17.182000000000002</v>
      </c>
      <c r="AB43" s="168">
        <f t="shared" si="15"/>
        <v>-16.639000000000003</v>
      </c>
      <c r="AC43" s="168">
        <f t="shared" si="15"/>
        <v>-16.174000000000007</v>
      </c>
      <c r="AD43" s="168">
        <f t="shared" si="15"/>
        <v>-18.109500000000011</v>
      </c>
      <c r="AE43" s="169">
        <f t="shared" si="15"/>
        <v>-17.887</v>
      </c>
    </row>
    <row r="44" spans="1:31" ht="15" thickBot="1"/>
    <row r="45" spans="1:31">
      <c r="B45" s="133" t="s">
        <v>95</v>
      </c>
      <c r="C45" s="171">
        <f t="shared" ref="C45:AE45" si="16">C15</f>
        <v>31.82</v>
      </c>
      <c r="D45" s="155">
        <f t="shared" si="16"/>
        <v>30.41</v>
      </c>
      <c r="E45" s="155">
        <f t="shared" si="16"/>
        <v>30.45</v>
      </c>
      <c r="F45" s="155">
        <f t="shared" si="16"/>
        <v>32.909999999999997</v>
      </c>
      <c r="G45" s="155">
        <f t="shared" si="16"/>
        <v>38.32</v>
      </c>
      <c r="H45" s="155">
        <f t="shared" si="16"/>
        <v>39.06</v>
      </c>
      <c r="I45" s="155">
        <f t="shared" si="16"/>
        <v>39.92</v>
      </c>
      <c r="J45" s="155">
        <f t="shared" si="16"/>
        <v>41.45</v>
      </c>
      <c r="K45" s="155">
        <f t="shared" si="16"/>
        <v>42.32</v>
      </c>
      <c r="L45" s="155">
        <f t="shared" si="16"/>
        <v>44.07</v>
      </c>
      <c r="M45" s="155">
        <f t="shared" si="16"/>
        <v>44.81</v>
      </c>
      <c r="N45" s="155">
        <f t="shared" si="16"/>
        <v>47.12</v>
      </c>
      <c r="O45" s="155">
        <f t="shared" si="16"/>
        <v>47.83</v>
      </c>
      <c r="P45" s="155">
        <f t="shared" si="16"/>
        <v>49.88</v>
      </c>
      <c r="Q45" s="155">
        <f t="shared" si="16"/>
        <v>51.4</v>
      </c>
      <c r="R45" s="155">
        <f t="shared" si="16"/>
        <v>51.75</v>
      </c>
      <c r="S45" s="155">
        <f t="shared" si="16"/>
        <v>51.29</v>
      </c>
      <c r="T45" s="155">
        <f t="shared" si="16"/>
        <v>50.65</v>
      </c>
      <c r="U45" s="155">
        <f t="shared" si="16"/>
        <v>51.17</v>
      </c>
      <c r="V45" s="155">
        <f t="shared" si="16"/>
        <v>52.13</v>
      </c>
      <c r="W45" s="155">
        <f t="shared" si="16"/>
        <v>51.95</v>
      </c>
      <c r="X45" s="155">
        <f t="shared" si="16"/>
        <v>53.3</v>
      </c>
      <c r="Y45" s="155">
        <f t="shared" si="16"/>
        <v>53.44</v>
      </c>
      <c r="Z45" s="155">
        <f t="shared" si="16"/>
        <v>54.19</v>
      </c>
      <c r="AA45" s="155">
        <f t="shared" si="16"/>
        <v>54.55</v>
      </c>
      <c r="AB45" s="155">
        <f t="shared" si="16"/>
        <v>55.53</v>
      </c>
      <c r="AC45" s="155">
        <f t="shared" si="16"/>
        <v>55.64</v>
      </c>
      <c r="AD45" s="155">
        <f t="shared" si="16"/>
        <v>56.04</v>
      </c>
      <c r="AE45" s="156">
        <f t="shared" si="16"/>
        <v>57.54</v>
      </c>
    </row>
    <row r="46" spans="1:31">
      <c r="B46" s="134" t="s">
        <v>94</v>
      </c>
      <c r="C46" s="164">
        <f t="shared" ref="C46:AE46" si="17">C22</f>
        <v>35.857500000000002</v>
      </c>
      <c r="D46" s="165">
        <f t="shared" si="17"/>
        <v>33.715499999999999</v>
      </c>
      <c r="E46" s="165">
        <f t="shared" si="17"/>
        <v>33.033000000000001</v>
      </c>
      <c r="F46" s="165">
        <f t="shared" si="17"/>
        <v>35.658000000000001</v>
      </c>
      <c r="G46" s="165">
        <f t="shared" si="17"/>
        <v>39.921000000000006</v>
      </c>
      <c r="H46" s="165">
        <f t="shared" si="17"/>
        <v>40.277999999999999</v>
      </c>
      <c r="I46" s="165">
        <f t="shared" si="17"/>
        <v>39.7425</v>
      </c>
      <c r="J46" s="165">
        <f t="shared" si="17"/>
        <v>41.107500000000002</v>
      </c>
      <c r="K46" s="165">
        <f t="shared" si="17"/>
        <v>42.125999999999998</v>
      </c>
      <c r="L46" s="165">
        <f t="shared" si="17"/>
        <v>43.711500000000008</v>
      </c>
      <c r="M46" s="165">
        <f t="shared" si="17"/>
        <v>44.320500000000003</v>
      </c>
      <c r="N46" s="165">
        <f t="shared" si="17"/>
        <v>47.124000000000002</v>
      </c>
      <c r="O46" s="165">
        <f t="shared" si="17"/>
        <v>48.594000000000001</v>
      </c>
      <c r="P46" s="165">
        <f t="shared" si="17"/>
        <v>49.686</v>
      </c>
      <c r="Q46" s="165">
        <f t="shared" si="17"/>
        <v>50.505000000000003</v>
      </c>
      <c r="R46" s="165">
        <f t="shared" si="17"/>
        <v>50.799000000000007</v>
      </c>
      <c r="S46" s="165">
        <f t="shared" si="17"/>
        <v>50.368499999999997</v>
      </c>
      <c r="T46" s="165">
        <f t="shared" si="17"/>
        <v>50.494500000000009</v>
      </c>
      <c r="U46" s="165">
        <f t="shared" si="17"/>
        <v>50.588999999999999</v>
      </c>
      <c r="V46" s="165">
        <f t="shared" si="17"/>
        <v>51.513000000000005</v>
      </c>
      <c r="W46" s="165">
        <f t="shared" si="17"/>
        <v>51.985500000000002</v>
      </c>
      <c r="X46" s="165">
        <f t="shared" si="17"/>
        <v>51.166499999999999</v>
      </c>
      <c r="Y46" s="165">
        <f t="shared" si="17"/>
        <v>50.484000000000002</v>
      </c>
      <c r="Z46" s="165">
        <f t="shared" si="17"/>
        <v>50.588999999999999</v>
      </c>
      <c r="AA46" s="165">
        <f t="shared" si="17"/>
        <v>52.195500000000003</v>
      </c>
      <c r="AB46" s="165">
        <f t="shared" si="17"/>
        <v>50.956500000000005</v>
      </c>
      <c r="AC46" s="165">
        <f t="shared" si="17"/>
        <v>51.03</v>
      </c>
      <c r="AD46" s="165">
        <f t="shared" si="17"/>
        <v>51.586500000000008</v>
      </c>
      <c r="AE46" s="166">
        <f t="shared" si="17"/>
        <v>52.100999999999999</v>
      </c>
    </row>
    <row r="47" spans="1:31" ht="15" thickBot="1">
      <c r="B47" s="135" t="s">
        <v>42</v>
      </c>
      <c r="C47" s="167">
        <f t="shared" ref="C47:AE47" si="18">C46-C45</f>
        <v>4.0375000000000014</v>
      </c>
      <c r="D47" s="168">
        <f t="shared" si="18"/>
        <v>3.3054999999999986</v>
      </c>
      <c r="E47" s="168">
        <f t="shared" si="18"/>
        <v>2.583000000000002</v>
      </c>
      <c r="F47" s="168">
        <f t="shared" si="18"/>
        <v>2.7480000000000047</v>
      </c>
      <c r="G47" s="168">
        <f t="shared" si="18"/>
        <v>1.6010000000000062</v>
      </c>
      <c r="H47" s="168">
        <f t="shared" si="18"/>
        <v>1.2179999999999964</v>
      </c>
      <c r="I47" s="168">
        <f t="shared" si="18"/>
        <v>-0.17750000000000199</v>
      </c>
      <c r="J47" s="168">
        <f t="shared" si="18"/>
        <v>-0.34250000000000114</v>
      </c>
      <c r="K47" s="168">
        <f t="shared" si="18"/>
        <v>-0.19400000000000261</v>
      </c>
      <c r="L47" s="168">
        <f t="shared" si="18"/>
        <v>-0.35849999999999227</v>
      </c>
      <c r="M47" s="168">
        <f t="shared" si="18"/>
        <v>-0.4894999999999996</v>
      </c>
      <c r="N47" s="168">
        <f t="shared" si="18"/>
        <v>4.0000000000048885E-3</v>
      </c>
      <c r="O47" s="168">
        <f t="shared" si="18"/>
        <v>0.7640000000000029</v>
      </c>
      <c r="P47" s="168">
        <f t="shared" si="18"/>
        <v>-0.19400000000000261</v>
      </c>
      <c r="Q47" s="168">
        <f t="shared" si="18"/>
        <v>-0.89499999999999602</v>
      </c>
      <c r="R47" s="168">
        <f t="shared" si="18"/>
        <v>-0.95099999999999341</v>
      </c>
      <c r="S47" s="168">
        <f t="shared" si="18"/>
        <v>-0.92150000000000176</v>
      </c>
      <c r="T47" s="168">
        <f t="shared" si="18"/>
        <v>-0.15549999999998931</v>
      </c>
      <c r="U47" s="168">
        <f t="shared" si="18"/>
        <v>-0.58100000000000307</v>
      </c>
      <c r="V47" s="168">
        <f t="shared" si="18"/>
        <v>-0.61699999999999733</v>
      </c>
      <c r="W47" s="168">
        <f t="shared" si="18"/>
        <v>3.5499999999998977E-2</v>
      </c>
      <c r="X47" s="168">
        <f t="shared" si="18"/>
        <v>-2.133499999999998</v>
      </c>
      <c r="Y47" s="168">
        <f t="shared" si="18"/>
        <v>-2.955999999999996</v>
      </c>
      <c r="Z47" s="168">
        <f t="shared" si="18"/>
        <v>-3.6009999999999991</v>
      </c>
      <c r="AA47" s="168">
        <f t="shared" si="18"/>
        <v>-2.3544999999999945</v>
      </c>
      <c r="AB47" s="168">
        <f t="shared" si="18"/>
        <v>-4.5734999999999957</v>
      </c>
      <c r="AC47" s="168">
        <f t="shared" si="18"/>
        <v>-4.6099999999999994</v>
      </c>
      <c r="AD47" s="168">
        <f t="shared" si="18"/>
        <v>-4.4534999999999911</v>
      </c>
      <c r="AE47" s="169">
        <f t="shared" si="18"/>
        <v>-5.4390000000000001</v>
      </c>
    </row>
    <row r="48" spans="1:31">
      <c r="A48" s="129"/>
    </row>
  </sheetData>
  <mergeCells count="1">
    <mergeCell ref="B5:B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4417A7017ADF468E402EAFA86AA0D2" ma:contentTypeVersion="12" ma:contentTypeDescription="Create a new document." ma:contentTypeScope="" ma:versionID="d3beead5268dca30bda03eab44de8485">
  <xsd:schema xmlns:xsd="http://www.w3.org/2001/XMLSchema" xmlns:xs="http://www.w3.org/2001/XMLSchema" xmlns:p="http://schemas.microsoft.com/office/2006/metadata/properties" xmlns:ns2="912fd148-cb1f-4661-91c7-4c4c082c7ff0" xmlns:ns3="df8e3e37-2981-47c0-8654-1188118b911f" targetNamespace="http://schemas.microsoft.com/office/2006/metadata/properties" ma:root="true" ma:fieldsID="8fad3465efd5711c7cf40f415f99315d" ns2:_="" ns3:_="">
    <xsd:import namespace="912fd148-cb1f-4661-91c7-4c4c082c7ff0"/>
    <xsd:import namespace="df8e3e37-2981-47c0-8654-1188118b911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2fd148-cb1f-4661-91c7-4c4c082c7f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8e3e37-2981-47c0-8654-1188118b911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519C95-BDDD-455A-B133-CA408E93174C}"/>
</file>

<file path=customXml/itemProps2.xml><?xml version="1.0" encoding="utf-8"?>
<ds:datastoreItem xmlns:ds="http://schemas.openxmlformats.org/officeDocument/2006/customXml" ds:itemID="{A9934D97-3AFB-4616-8A69-2F7CC6AA8A88}"/>
</file>

<file path=customXml/itemProps3.xml><?xml version="1.0" encoding="utf-8"?>
<ds:datastoreItem xmlns:ds="http://schemas.openxmlformats.org/officeDocument/2006/customXml" ds:itemID="{46874E36-72A8-4B99-AC14-3FDA8FCAA6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ReadMe</vt:lpstr>
      <vt:lpstr>Inputs</vt:lpstr>
      <vt:lpstr>Outputs</vt:lpstr>
      <vt:lpstr>Calculations</vt:lpstr>
      <vt:lpstr>Capex</vt:lpstr>
      <vt:lpstr>Lifetime Cycles</vt:lpstr>
      <vt:lpstr>Discharge Scenario</vt:lpstr>
      <vt:lpstr>Selected Forward Price</vt:lpstr>
      <vt:lpstr>Forward Price Ratios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Freeman</dc:creator>
  <cp:lastModifiedBy>Greg Englehart</cp:lastModifiedBy>
  <dcterms:created xsi:type="dcterms:W3CDTF">2020-08-03T15:17:16Z</dcterms:created>
  <dcterms:modified xsi:type="dcterms:W3CDTF">2020-11-03T20:50:24Z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{81B55EFD-3E47-4F9E-A612-3415F72C8CB2}</vt:lpwstr>
  </property>
  <property fmtid="{D5CDD505-2E9C-101B-9397-08002B2CF9AE}" pid="3" name="ContentTypeId">
    <vt:lpwstr>0x010100814417A7017ADF468E402EAFA86AA0D2</vt:lpwstr>
  </property>
</Properties>
</file>