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updateLinks="never" codeName="ThisWorkbook" defaultThemeVersion="166925"/>
  <mc:AlternateContent xmlns:mc="http://schemas.openxmlformats.org/markup-compatibility/2006">
    <mc:Choice Requires="x15">
      <x15ac:absPath xmlns:x15ac="http://schemas.microsoft.com/office/spreadsheetml/2010/11/ac" url="https://d.docs.live.net/1d2d180bc887d8ff/Documents/Emerald/IEC/Task 3 Files/LCOE Files/"/>
    </mc:Choice>
  </mc:AlternateContent>
  <xr:revisionPtr revIDLastSave="51" documentId="8_{2B7B63F2-2C9A-4ACA-A95E-BF9490259D18}" xr6:coauthVersionLast="45" xr6:coauthVersionMax="45" xr10:uidLastSave="{ECA1A2BA-083C-4D32-8306-6DE3E06696F3}"/>
  <bookViews>
    <workbookView xWindow="-108" yWindow="-108" windowWidth="23256" windowHeight="12576" firstSheet="1" activeTab="1" xr2:uid="{891935B2-CA42-48FD-88FB-2E614EB9E884}"/>
  </bookViews>
  <sheets>
    <sheet name="Readme" sheetId="2" r:id="rId1"/>
    <sheet name="General inputs" sheetId="3" r:id="rId2"/>
    <sheet name="RESULTS" sheetId="4" r:id="rId3"/>
    <sheet name="Defaults" sheetId="5" r:id="rId4"/>
    <sheet name="Degradation" sheetId="6" r:id="rId5"/>
  </sheets>
  <definedNames>
    <definedName name="Battery">#REF!</definedName>
    <definedName name="Biogas">#REF!</definedName>
    <definedName name="Biomass">#REF!</definedName>
    <definedName name="Gas">#REF!</definedName>
    <definedName name="Geothermal">#REF!</definedName>
    <definedName name="Hydro">#REF!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Other">#REF!</definedName>
    <definedName name="Pumped_Storage">#REF!</definedName>
    <definedName name="Solar_PV">#REF!</definedName>
    <definedName name="Solar_Thermal">#REF!</definedName>
    <definedName name="Wind">#REF!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3" l="1"/>
  <c r="B9" i="5" l="1"/>
  <c r="C20" i="4" s="1"/>
  <c r="D20" i="4" s="1"/>
  <c r="D19" i="4"/>
  <c r="D23" i="4" l="1"/>
  <c r="C23" i="4"/>
  <c r="C12" i="3" l="1"/>
  <c r="B26" i="4" l="1"/>
  <c r="B25" i="4"/>
  <c r="B24" i="4"/>
  <c r="D35" i="5" l="1"/>
  <c r="D31" i="5" l="1"/>
  <c r="D32" i="5"/>
  <c r="D33" i="5"/>
  <c r="D34" i="5"/>
  <c r="D36" i="5"/>
  <c r="D37" i="5"/>
  <c r="E33" i="5" l="1"/>
  <c r="E34" i="5"/>
  <c r="C34" i="5"/>
  <c r="C33" i="5"/>
  <c r="C32" i="5"/>
  <c r="E32" i="5"/>
  <c r="C35" i="5"/>
  <c r="E35" i="5"/>
  <c r="C36" i="5"/>
  <c r="E36" i="5"/>
  <c r="C37" i="5"/>
  <c r="E37" i="5"/>
  <c r="E31" i="5"/>
  <c r="C31" i="5"/>
  <c r="E31" i="3" l="1"/>
  <c r="H31" i="3" s="1"/>
  <c r="E21" i="3"/>
  <c r="H21" i="3" s="1"/>
  <c r="E16" i="3"/>
  <c r="E26" i="3"/>
  <c r="H26" i="3" s="1"/>
  <c r="E17" i="3"/>
  <c r="H17" i="3" s="1"/>
  <c r="E27" i="3"/>
  <c r="H27" i="3" s="1"/>
  <c r="E18" i="3"/>
  <c r="H18" i="3" s="1"/>
  <c r="E28" i="3"/>
  <c r="H28" i="3" s="1"/>
  <c r="E32" i="3"/>
  <c r="H32" i="3" s="1"/>
  <c r="E22" i="3"/>
  <c r="H22" i="3" s="1"/>
  <c r="E19" i="3"/>
  <c r="E29" i="3"/>
  <c r="H29" i="3" s="1"/>
  <c r="E20" i="3"/>
  <c r="H20" i="3" s="1"/>
  <c r="E30" i="3"/>
  <c r="H30" i="3" s="1"/>
  <c r="B3" i="4"/>
  <c r="C10" i="4" l="1"/>
  <c r="H19" i="3"/>
  <c r="C7" i="4"/>
  <c r="H16" i="3"/>
  <c r="C13" i="4"/>
  <c r="C12" i="4"/>
  <c r="C8" i="4"/>
  <c r="C11" i="4"/>
  <c r="C9" i="4"/>
  <c r="D13" i="4"/>
  <c r="D10" i="4"/>
  <c r="D12" i="4"/>
  <c r="D8" i="4"/>
  <c r="D9" i="4"/>
  <c r="D7" i="4"/>
  <c r="E7" i="4" l="1"/>
  <c r="E8" i="4"/>
  <c r="E12" i="4"/>
  <c r="E13" i="4"/>
  <c r="E9" i="4"/>
  <c r="E10" i="4"/>
  <c r="D11" i="4"/>
  <c r="E11" i="4" s="1"/>
  <c r="D18" i="4" l="1"/>
  <c r="C5" i="6" l="1"/>
  <c r="C13" i="6"/>
  <c r="C21" i="6"/>
  <c r="C7" i="6"/>
  <c r="C15" i="6"/>
  <c r="C6" i="6"/>
  <c r="C14" i="6"/>
  <c r="C22" i="6"/>
  <c r="C8" i="6"/>
  <c r="C16" i="6"/>
  <c r="C9" i="6"/>
  <c r="C17" i="6"/>
  <c r="C25" i="6"/>
  <c r="C24" i="6"/>
  <c r="C10" i="6"/>
  <c r="C18" i="6"/>
  <c r="C26" i="6"/>
  <c r="C4" i="6"/>
  <c r="C20" i="6"/>
  <c r="C23" i="6"/>
  <c r="C11" i="6"/>
  <c r="C19" i="6"/>
  <c r="C27" i="6"/>
  <c r="C12" i="6"/>
  <c r="C3" i="6"/>
  <c r="D5" i="6"/>
  <c r="D13" i="6"/>
  <c r="D21" i="6"/>
  <c r="D7" i="6"/>
  <c r="D23" i="6"/>
  <c r="D6" i="6"/>
  <c r="D14" i="6"/>
  <c r="D22" i="6"/>
  <c r="D15" i="6"/>
  <c r="D8" i="6"/>
  <c r="D16" i="6"/>
  <c r="D24" i="6"/>
  <c r="D9" i="6"/>
  <c r="D17" i="6"/>
  <c r="D25" i="6"/>
  <c r="D10" i="6"/>
  <c r="D18" i="6"/>
  <c r="D26" i="6"/>
  <c r="D12" i="6"/>
  <c r="D3" i="6"/>
  <c r="D11" i="6"/>
  <c r="D19" i="6"/>
  <c r="D27" i="6"/>
  <c r="D4" i="6"/>
  <c r="D20" i="6"/>
  <c r="C24" i="4" l="1"/>
  <c r="C26" i="4"/>
  <c r="C25" i="4"/>
  <c r="D24" i="4"/>
  <c r="D26" i="4"/>
  <c r="D25" i="4"/>
  <c r="G24" i="4" l="1"/>
  <c r="E25" i="4"/>
  <c r="E24" i="4"/>
  <c r="E26" i="4"/>
</calcChain>
</file>

<file path=xl/sharedStrings.xml><?xml version="1.0" encoding="utf-8"?>
<sst xmlns="http://schemas.openxmlformats.org/spreadsheetml/2006/main" count="154" uniqueCount="87">
  <si>
    <t>Change in Levelized Cost of Electricity (LCOE)</t>
  </si>
  <si>
    <t>Overview</t>
  </si>
  <si>
    <t xml:space="preserve">This tool estimates the change in the cost of electricity generation resulting from technological improvements funded by EPIC. It was developed by Industrial Economics, Inc. (IEc) and Emerald Energy Consulting under contract to the California Energy Commission. 
Levelized cost of electricity (LCOE) is the price at which energy would need to be sold at in order for a project's owner to break even on their investment. It is determined by analyzing the overnight capital costs of the installation; the interest rate or cost of capital for that upfront investment; and the costs for ongoing operations and maintenance, including fuel costs and periodic replacements. </t>
  </si>
  <si>
    <t>General inputs worksheet</t>
  </si>
  <si>
    <t xml:space="preserve">This worksheet allows users to select among seven different technology characteristics that may be targeted for improvement in an EPIC R&amp;D or demonstration project: capacity factor, degradation rate, installed costs, fixed operations and maintenance costs, variable operations and maintenance costs, fuel costs, and heat rate. Each of these characteristics is defined in the documentation for this tool. When the user selects a characteristic that is addressed by the EPIC intervention, they select whether to manually enter a baseline (pre-intervention) value or to use the default data provided. Users also select whether they prefer to report the change as a quantity or as a percent improvement. </t>
  </si>
  <si>
    <t>Results worksheet</t>
  </si>
  <si>
    <t>This worksheet summarizes the resulting change in LCOE from the EPIC intervention based on user inputs. The calculation assumes a levelization period of 25 years, and it displays the LCOE pre- and post-intervention under three financing assumptions: 0%, 3% (the assumed cost for government-financed projects), and 7.68% (representing the average financing cost for California IOUs) cost of capital. Please note that the cost of capital only applies to the installed costs. There is no discounting applied to the ongoing costs. The calculator also does not account for any applicable taxes, tax credits, or emissions pricing.</t>
  </si>
  <si>
    <t>Defaults worksheet</t>
  </si>
  <si>
    <t>This worksheet contains data inputs from the RESOLVE model, which are updated annually and released by CPUC. The values highlighted in green from the RESOLVE model should be updated on an annual basis.</t>
  </si>
  <si>
    <t>← yellow highlight = user input required</t>
  </si>
  <si>
    <t>← orange highlight = user input completed</t>
  </si>
  <si>
    <t>GENERAL INPUTS</t>
  </si>
  <si>
    <t>User selection</t>
  </si>
  <si>
    <t>Source notes</t>
  </si>
  <si>
    <t>Project name/ID</t>
  </si>
  <si>
    <t>Applicant/grantee</t>
  </si>
  <si>
    <t>Technology</t>
  </si>
  <si>
    <t>Li-ion Battery - Utility</t>
  </si>
  <si>
    <t>Post-intervention cost metrics reported as:</t>
  </si>
  <si>
    <t>TARGETED CHANGES</t>
  </si>
  <si>
    <t>Option 1: Known quantity</t>
  </si>
  <si>
    <t>Technology Characteristics</t>
  </si>
  <si>
    <t>Addressed by intervention?</t>
  </si>
  <si>
    <t>Data source for baseline value</t>
  </si>
  <si>
    <t>Default baseline value (pre-intervention)</t>
  </si>
  <si>
    <t>Baseline value (pre-intervention)</t>
  </si>
  <si>
    <t>Post-intervention value</t>
  </si>
  <si>
    <t>Calculated percent improvement</t>
  </si>
  <si>
    <t>Capacity factor (%)</t>
  </si>
  <si>
    <t>Degradation rate (%/yr)</t>
  </si>
  <si>
    <t>Installed cost ($/kW)</t>
  </si>
  <si>
    <t>Fixed O&amp;M ($/kW-yr)</t>
  </si>
  <si>
    <t>Variable O&amp;M ($/MWh)</t>
  </si>
  <si>
    <t>Fuel cost ($/MMBtu)</t>
  </si>
  <si>
    <t>Heat rate (Btu/kWh)</t>
  </si>
  <si>
    <t>Option 2: Percent improvement</t>
  </si>
  <si>
    <t>% Improvement</t>
  </si>
  <si>
    <t>Calculated post-intervention value</t>
  </si>
  <si>
    <t>CHANGE IN LCOE
RESULTS SUMMARY:</t>
  </si>
  <si>
    <t>INPUTS</t>
  </si>
  <si>
    <t>Pre-Intervention</t>
  </si>
  <si>
    <t>Post-Intervention</t>
  </si>
  <si>
    <t>FINANCIAL ASSUMPTIONS</t>
  </si>
  <si>
    <t>Cost of capital</t>
  </si>
  <si>
    <t>Value</t>
  </si>
  <si>
    <t>Levelization period (years)</t>
  </si>
  <si>
    <t>Capital Recovery Factor</t>
  </si>
  <si>
    <t>RESULT</t>
  </si>
  <si>
    <t>← green highlight = should be updated annually</t>
  </si>
  <si>
    <t>Year of RESOLVE update</t>
  </si>
  <si>
    <t>https://www.cpuc.ca.gov/General.aspx?id=6442462824</t>
  </si>
  <si>
    <t>Dollar year</t>
  </si>
  <si>
    <t>California IOU average cost of capital</t>
  </si>
  <si>
    <t xml:space="preserve">https://www.cpuc.ca.gov/General.aspx?id=12093 </t>
  </si>
  <si>
    <t>Capacity Costs</t>
  </si>
  <si>
    <t>*Biogas not available in RESOLVE 2019</t>
  </si>
  <si>
    <t>Input</t>
  </si>
  <si>
    <t>Solar PV - Residential</t>
  </si>
  <si>
    <t>Solar PV - Commercial</t>
  </si>
  <si>
    <t>Solar PV - Utility</t>
  </si>
  <si>
    <t>Solar Thermal</t>
  </si>
  <si>
    <t>Wind - Onshore</t>
  </si>
  <si>
    <t>Wind - Offshore</t>
  </si>
  <si>
    <t>Li-ion Battery - BTM</t>
  </si>
  <si>
    <t>Flow Battery</t>
  </si>
  <si>
    <t>Geothermal</t>
  </si>
  <si>
    <t>Biomass</t>
  </si>
  <si>
    <t>Hydropower</t>
  </si>
  <si>
    <t>Biogas</t>
  </si>
  <si>
    <t>Other</t>
  </si>
  <si>
    <t>N/A</t>
  </si>
  <si>
    <t>Battery Duration Costs</t>
  </si>
  <si>
    <t>Installed cost ($/kWh)</t>
  </si>
  <si>
    <t>Fixed O&amp;M ($/kWh-yr)</t>
  </si>
  <si>
    <t>Battery Charging Costs</t>
  </si>
  <si>
    <t>Battery Duration (hours)</t>
  </si>
  <si>
    <t>Residential off-peak electricity price ($/MWh)</t>
  </si>
  <si>
    <t>Total Battery Costs</t>
  </si>
  <si>
    <t>Year</t>
  </si>
  <si>
    <t>Degradation Factor 
(Pre-intervention)</t>
  </si>
  <si>
    <t>Degradation Factor 
(Post-intervention)</t>
  </si>
  <si>
    <t>Percent improvement</t>
  </si>
  <si>
    <t>Yes</t>
  </si>
  <si>
    <t>Manual input</t>
  </si>
  <si>
    <t>No</t>
  </si>
  <si>
    <t>Use default data</t>
  </si>
  <si>
    <t>EPC-14-002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</si>
</sst>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quot;$&quot;#,##0.00"/>
    <numFmt numFmtId="166" formatCode="0.000"/>
    <numFmt numFmtId="167" formatCode="0.0"/>
  </numFmts>
  <fonts count="10" x14ac:knownFonts="1">
    <font>
      <sz val="11"/>
      <color theme="1"/>
      <name val="Calibri"/>
      <family val="2"/>
      <scheme val="minor"/>
    </font>
    <font>
      <b/>
      <sz val="11"/>
      <color theme="1"/>
      <name val="Calibri"/>
      <family val="2"/>
      <scheme val="minor"/>
    </font>
    <font>
      <b/>
      <sz val="14"/>
      <color theme="1"/>
      <name val="Calibri"/>
      <family val="2"/>
      <scheme val="minor"/>
    </font>
    <font>
      <b/>
      <sz val="11"/>
      <color rgb="FF000066"/>
      <name val="Calibri"/>
      <family val="2"/>
      <scheme val="minor"/>
    </font>
    <font>
      <sz val="11"/>
      <color rgb="FF000066"/>
      <name val="Calibri"/>
      <family val="2"/>
      <scheme val="minor"/>
    </font>
    <font>
      <i/>
      <sz val="11"/>
      <color theme="1"/>
      <name val="Calibri"/>
      <family val="2"/>
    </font>
    <font>
      <sz val="11"/>
      <name val="Calibri"/>
      <family val="2"/>
      <scheme val="minor"/>
    </font>
    <font>
      <sz val="10"/>
      <color theme="1"/>
      <name val="Calibri"/>
      <family val="2"/>
      <scheme val="minor"/>
    </font>
    <font>
      <sz val="11"/>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rgb="FFDDEBF9"/>
        <bgColor indexed="64"/>
      </patternFill>
    </fill>
    <fill>
      <patternFill patternType="solid">
        <fgColor rgb="FFFFFFCC"/>
        <bgColor indexed="64"/>
      </patternFill>
    </fill>
    <fill>
      <patternFill patternType="solid">
        <fgColor rgb="FFFFCC00"/>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7" fillId="0" borderId="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9" fillId="0" borderId="0" applyNumberFormat="0" applyFill="0" applyBorder="0" applyAlignment="0" applyProtection="0"/>
  </cellStyleXfs>
  <cellXfs count="79">
    <xf numFmtId="0" fontId="0" fillId="0" borderId="0" xfId="0"/>
    <xf numFmtId="0" fontId="2" fillId="0" borderId="0" xfId="0" applyFont="1" applyAlignment="1">
      <alignment wrapText="1"/>
    </xf>
    <xf numFmtId="0" fontId="1" fillId="0" borderId="1" xfId="0" applyFont="1" applyBorder="1" applyAlignment="1">
      <alignment vertical="top"/>
    </xf>
    <xf numFmtId="0" fontId="0" fillId="0" borderId="1" xfId="0" applyBorder="1" applyAlignment="1">
      <alignment vertical="top" wrapText="1"/>
    </xf>
    <xf numFmtId="0" fontId="1" fillId="2" borderId="1" xfId="0" applyFont="1" applyFill="1" applyBorder="1" applyAlignment="1">
      <alignment vertical="top" wrapText="1"/>
    </xf>
    <xf numFmtId="0" fontId="1" fillId="3" borderId="1" xfId="0" applyFont="1" applyFill="1" applyBorder="1" applyAlignment="1">
      <alignment vertical="top" wrapText="1"/>
    </xf>
    <xf numFmtId="0" fontId="1" fillId="0" borderId="1" xfId="0" applyFont="1" applyBorder="1" applyAlignment="1">
      <alignment vertical="top" wrapText="1"/>
    </xf>
    <xf numFmtId="0" fontId="1" fillId="0" borderId="0" xfId="0" applyFont="1"/>
    <xf numFmtId="0" fontId="0" fillId="4" borderId="1" xfId="0" applyFill="1" applyBorder="1"/>
    <xf numFmtId="0" fontId="3" fillId="4" borderId="1" xfId="0" applyFont="1" applyFill="1" applyBorder="1" applyAlignment="1">
      <alignment horizontal="center" wrapText="1"/>
    </xf>
    <xf numFmtId="0" fontId="0" fillId="0" borderId="1" xfId="0" applyBorder="1"/>
    <xf numFmtId="0" fontId="0" fillId="0" borderId="1" xfId="0" applyBorder="1" applyAlignment="1">
      <alignment horizontal="left" wrapText="1"/>
    </xf>
    <xf numFmtId="0" fontId="0" fillId="5" borderId="1" xfId="0" applyFill="1" applyBorder="1"/>
    <xf numFmtId="0" fontId="5" fillId="0" borderId="0" xfId="0" applyFont="1"/>
    <xf numFmtId="0" fontId="4" fillId="6" borderId="1" xfId="0" applyFont="1" applyFill="1" applyBorder="1" applyAlignment="1">
      <alignment horizontal="right" wrapText="1"/>
    </xf>
    <xf numFmtId="0" fontId="0" fillId="0" borderId="0" xfId="0" applyBorder="1"/>
    <xf numFmtId="2" fontId="0" fillId="0" borderId="0" xfId="0" applyNumberFormat="1"/>
    <xf numFmtId="0" fontId="3" fillId="4" borderId="1" xfId="0" applyFont="1" applyFill="1" applyBorder="1" applyAlignment="1">
      <alignment horizontal="center"/>
    </xf>
    <xf numFmtId="0" fontId="2" fillId="0" borderId="0" xfId="0" applyFont="1" applyAlignment="1">
      <alignment horizontal="center"/>
    </xf>
    <xf numFmtId="9" fontId="0" fillId="0" borderId="1" xfId="3" applyFont="1" applyBorder="1" applyAlignment="1">
      <alignment horizontal="right"/>
    </xf>
    <xf numFmtId="164" fontId="0" fillId="0" borderId="1" xfId="0" applyNumberFormat="1" applyBorder="1" applyAlignment="1">
      <alignment horizontal="right"/>
    </xf>
    <xf numFmtId="0" fontId="0" fillId="0" borderId="0" xfId="0" applyBorder="1" applyAlignment="1">
      <alignment horizontal="right"/>
    </xf>
    <xf numFmtId="164" fontId="0" fillId="0" borderId="0" xfId="0" applyNumberFormat="1" applyBorder="1" applyAlignment="1">
      <alignment horizontal="right"/>
    </xf>
    <xf numFmtId="0" fontId="0" fillId="0" borderId="0" xfId="0" applyFill="1" applyBorder="1"/>
    <xf numFmtId="0" fontId="1" fillId="0" borderId="0" xfId="0" applyFont="1" applyFill="1" applyBorder="1"/>
    <xf numFmtId="166" fontId="0" fillId="0" borderId="0" xfId="0" applyNumberFormat="1"/>
    <xf numFmtId="166" fontId="0" fillId="0" borderId="1" xfId="0" applyNumberFormat="1" applyBorder="1"/>
    <xf numFmtId="165" fontId="0" fillId="0" borderId="1" xfId="3" applyNumberFormat="1" applyFont="1" applyBorder="1" applyAlignment="1">
      <alignment horizontal="right"/>
    </xf>
    <xf numFmtId="1" fontId="0" fillId="0" borderId="1" xfId="3" applyNumberFormat="1" applyFont="1" applyBorder="1" applyAlignment="1">
      <alignment horizontal="right"/>
    </xf>
    <xf numFmtId="0" fontId="0" fillId="0" borderId="0" xfId="0" applyFill="1"/>
    <xf numFmtId="9" fontId="6" fillId="0" borderId="1" xfId="3" applyFont="1" applyFill="1" applyBorder="1" applyAlignment="1" applyProtection="1">
      <alignment horizontal="right" wrapText="1"/>
    </xf>
    <xf numFmtId="165" fontId="0" fillId="0" borderId="1" xfId="3" applyNumberFormat="1" applyFont="1" applyBorder="1" applyAlignment="1" applyProtection="1">
      <alignment horizontal="right" wrapText="1"/>
    </xf>
    <xf numFmtId="164" fontId="0" fillId="0" borderId="1" xfId="3" applyNumberFormat="1" applyFont="1" applyBorder="1" applyAlignment="1" applyProtection="1">
      <alignment horizontal="right" wrapText="1"/>
    </xf>
    <xf numFmtId="0" fontId="4" fillId="5" borderId="1" xfId="0" applyFont="1" applyFill="1" applyBorder="1" applyAlignment="1" applyProtection="1">
      <alignment horizontal="right" wrapText="1"/>
      <protection locked="0"/>
    </xf>
    <xf numFmtId="0" fontId="6" fillId="5" borderId="1" xfId="0" applyFont="1" applyFill="1" applyBorder="1" applyAlignment="1" applyProtection="1">
      <alignment horizontal="right" wrapText="1"/>
      <protection locked="0"/>
    </xf>
    <xf numFmtId="9" fontId="6" fillId="5" borderId="1" xfId="3" applyFont="1" applyFill="1" applyBorder="1" applyAlignment="1" applyProtection="1">
      <alignment horizontal="right" wrapText="1"/>
      <protection locked="0"/>
    </xf>
    <xf numFmtId="165" fontId="6" fillId="5" borderId="1" xfId="2" applyNumberFormat="1" applyFont="1" applyFill="1" applyBorder="1" applyAlignment="1" applyProtection="1">
      <alignment horizontal="right" wrapText="1"/>
      <protection locked="0"/>
    </xf>
    <xf numFmtId="165" fontId="6" fillId="5" borderId="1" xfId="3" applyNumberFormat="1" applyFont="1" applyFill="1" applyBorder="1" applyAlignment="1" applyProtection="1">
      <alignment horizontal="right" wrapText="1"/>
      <protection locked="0"/>
    </xf>
    <xf numFmtId="2" fontId="6" fillId="5" borderId="1" xfId="0" applyNumberFormat="1" applyFont="1" applyFill="1" applyBorder="1" applyAlignment="1" applyProtection="1">
      <alignment horizontal="right" wrapText="1"/>
      <protection locked="0"/>
    </xf>
    <xf numFmtId="9" fontId="0" fillId="7" borderId="1" xfId="3" applyFont="1" applyFill="1" applyBorder="1" applyProtection="1">
      <protection locked="0"/>
    </xf>
    <xf numFmtId="165" fontId="0" fillId="7" borderId="1" xfId="2" applyNumberFormat="1" applyFont="1" applyFill="1" applyBorder="1" applyProtection="1">
      <protection locked="0"/>
    </xf>
    <xf numFmtId="164" fontId="0" fillId="7" borderId="1" xfId="3" applyNumberFormat="1" applyFont="1" applyFill="1" applyBorder="1" applyProtection="1">
      <protection locked="0"/>
    </xf>
    <xf numFmtId="164" fontId="0" fillId="0" borderId="1" xfId="3" applyNumberFormat="1" applyFont="1" applyBorder="1" applyAlignment="1">
      <alignment horizontal="right"/>
    </xf>
    <xf numFmtId="166" fontId="0" fillId="0" borderId="1" xfId="3" applyNumberFormat="1" applyFont="1" applyBorder="1" applyAlignment="1">
      <alignment horizontal="right"/>
    </xf>
    <xf numFmtId="9" fontId="0" fillId="0" borderId="1" xfId="3" applyFont="1" applyBorder="1"/>
    <xf numFmtId="165" fontId="6" fillId="0" borderId="1" xfId="3" applyNumberFormat="1" applyFont="1" applyFill="1" applyBorder="1" applyAlignment="1" applyProtection="1">
      <alignment horizontal="right" wrapText="1"/>
    </xf>
    <xf numFmtId="0" fontId="0" fillId="0" borderId="1" xfId="0" applyFill="1" applyBorder="1" applyAlignment="1">
      <alignment wrapText="1"/>
    </xf>
    <xf numFmtId="167" fontId="6" fillId="5" borderId="1" xfId="3" applyNumberFormat="1" applyFont="1" applyFill="1" applyBorder="1" applyAlignment="1" applyProtection="1">
      <alignment horizontal="right" wrapText="1"/>
      <protection locked="0"/>
    </xf>
    <xf numFmtId="9" fontId="0" fillId="0" borderId="1" xfId="3" applyNumberFormat="1" applyFont="1" applyBorder="1" applyAlignment="1" applyProtection="1">
      <alignment horizontal="right" wrapText="1"/>
    </xf>
    <xf numFmtId="167" fontId="0" fillId="0" borderId="1" xfId="3" applyNumberFormat="1" applyFont="1" applyBorder="1" applyAlignment="1" applyProtection="1">
      <alignment horizontal="right" wrapText="1"/>
    </xf>
    <xf numFmtId="164" fontId="6" fillId="5" borderId="1" xfId="3" applyNumberFormat="1" applyFont="1" applyFill="1" applyBorder="1" applyAlignment="1" applyProtection="1">
      <alignment horizontal="right" wrapText="1"/>
      <protection locked="0"/>
    </xf>
    <xf numFmtId="167" fontId="6" fillId="5" borderId="1" xfId="0" applyNumberFormat="1" applyFont="1" applyFill="1" applyBorder="1" applyAlignment="1" applyProtection="1">
      <alignment horizontal="right" wrapText="1"/>
      <protection locked="0"/>
    </xf>
    <xf numFmtId="167" fontId="6" fillId="0" borderId="1" xfId="3" applyNumberFormat="1" applyFont="1" applyFill="1" applyBorder="1" applyAlignment="1" applyProtection="1">
      <alignment horizontal="right" wrapText="1"/>
    </xf>
    <xf numFmtId="164" fontId="6" fillId="0" borderId="1" xfId="3" applyNumberFormat="1" applyFont="1" applyFill="1" applyBorder="1" applyAlignment="1" applyProtection="1">
      <alignment horizontal="right" wrapText="1"/>
    </xf>
    <xf numFmtId="167" fontId="0" fillId="0" borderId="1" xfId="3" applyNumberFormat="1" applyFont="1" applyBorder="1" applyAlignment="1">
      <alignment horizontal="right"/>
    </xf>
    <xf numFmtId="9" fontId="0" fillId="7" borderId="1" xfId="3" applyNumberFormat="1" applyFont="1" applyFill="1" applyBorder="1" applyProtection="1">
      <protection locked="0"/>
    </xf>
    <xf numFmtId="167" fontId="0" fillId="7" borderId="1" xfId="4" applyNumberFormat="1" applyFont="1" applyFill="1" applyBorder="1" applyProtection="1">
      <protection locked="0"/>
    </xf>
    <xf numFmtId="167" fontId="0" fillId="7" borderId="1" xfId="3" applyNumberFormat="1" applyFont="1" applyFill="1" applyBorder="1" applyProtection="1">
      <protection locked="0"/>
    </xf>
    <xf numFmtId="165" fontId="0" fillId="7" borderId="1" xfId="3" applyNumberFormat="1" applyFont="1" applyFill="1" applyBorder="1" applyProtection="1">
      <protection locked="0"/>
    </xf>
    <xf numFmtId="9" fontId="0" fillId="0" borderId="1" xfId="3" applyFont="1" applyFill="1" applyBorder="1" applyProtection="1">
      <protection locked="0"/>
    </xf>
    <xf numFmtId="164" fontId="0" fillId="0" borderId="1" xfId="3" applyNumberFormat="1" applyFont="1" applyFill="1" applyBorder="1" applyProtection="1">
      <protection locked="0"/>
    </xf>
    <xf numFmtId="165" fontId="0" fillId="0" borderId="1" xfId="3" applyNumberFormat="1" applyFont="1" applyFill="1" applyBorder="1" applyProtection="1">
      <protection locked="0"/>
    </xf>
    <xf numFmtId="167" fontId="0" fillId="0" borderId="1" xfId="3" applyNumberFormat="1" applyFont="1" applyFill="1" applyBorder="1" applyProtection="1">
      <protection locked="0"/>
    </xf>
    <xf numFmtId="165" fontId="0" fillId="0" borderId="1" xfId="2" applyNumberFormat="1" applyFont="1" applyFill="1" applyBorder="1" applyProtection="1">
      <protection locked="0"/>
    </xf>
    <xf numFmtId="167" fontId="0" fillId="0" borderId="1" xfId="4" applyNumberFormat="1" applyFont="1" applyFill="1" applyBorder="1" applyProtection="1">
      <protection locked="0"/>
    </xf>
    <xf numFmtId="165" fontId="0" fillId="0" borderId="0" xfId="3" applyNumberFormat="1" applyFont="1" applyFill="1" applyBorder="1" applyProtection="1">
      <protection locked="0"/>
    </xf>
    <xf numFmtId="0" fontId="0" fillId="7" borderId="1" xfId="0" applyFill="1" applyBorder="1"/>
    <xf numFmtId="0" fontId="9" fillId="0" borderId="0" xfId="5"/>
    <xf numFmtId="9" fontId="0" fillId="0" borderId="1" xfId="3" applyFont="1" applyFill="1" applyBorder="1"/>
    <xf numFmtId="0" fontId="0" fillId="0" borderId="0" xfId="0" applyAlignment="1">
      <alignment wrapText="1"/>
    </xf>
    <xf numFmtId="10" fontId="0" fillId="0" borderId="1" xfId="3" applyNumberFormat="1" applyFont="1" applyFill="1" applyBorder="1"/>
    <xf numFmtId="10" fontId="0" fillId="7" borderId="1" xfId="3" applyNumberFormat="1" applyFont="1" applyFill="1" applyBorder="1"/>
    <xf numFmtId="0" fontId="0" fillId="0" borderId="1" xfId="0" applyFill="1" applyBorder="1"/>
    <xf numFmtId="0" fontId="9" fillId="0" borderId="0" xfId="5" applyFill="1" applyBorder="1"/>
    <xf numFmtId="165" fontId="0" fillId="0" borderId="0" xfId="0" applyNumberFormat="1"/>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2" fillId="0" borderId="0" xfId="0" applyFont="1" applyAlignment="1">
      <alignment horizontal="center" wrapText="1"/>
    </xf>
  </cellXfs>
  <cellStyles count="6">
    <cellStyle name="Comma" xfId="4" builtinId="3"/>
    <cellStyle name="Currency" xfId="2" builtinId="4"/>
    <cellStyle name="Hyperlink" xfId="5" builtinId="8"/>
    <cellStyle name="Normal" xfId="0" builtinId="0"/>
    <cellStyle name="Normal 4" xfId="1" xr:uid="{5E8170C7-56D0-4CA1-9E74-37D146CC16CE}"/>
    <cellStyle name="Percent" xfId="3" builtinId="5"/>
  </cellStyles>
  <dxfs count="33">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border>
    </dxf>
    <dxf>
      <font>
        <color theme="2"/>
      </font>
      <fill>
        <patternFill>
          <bgColor theme="2"/>
        </patternFill>
      </fill>
    </dxf>
    <dxf>
      <font>
        <color theme="2"/>
      </font>
      <fill>
        <patternFill>
          <bgColor theme="2"/>
        </patternFill>
      </fill>
      <border>
        <left/>
        <right/>
        <top/>
        <bottom/>
        <vertical/>
        <horizontal/>
      </border>
    </dxf>
    <dxf>
      <font>
        <color theme="2"/>
      </font>
      <fill>
        <patternFill>
          <bgColor theme="2"/>
        </patternFill>
      </fill>
      <border>
        <left/>
        <right/>
        <top/>
        <bottom/>
      </border>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fgColor theme="2"/>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fgColor theme="2"/>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fgColor theme="2"/>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border>
        <vertical/>
        <horizontal/>
      </border>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xdr:row>
      <xdr:rowOff>1</xdr:rowOff>
    </xdr:from>
    <xdr:to>
      <xdr:col>1</xdr:col>
      <xdr:colOff>2059980</xdr:colOff>
      <xdr:row>1</xdr:row>
      <xdr:rowOff>914401</xdr:rowOff>
    </xdr:to>
    <xdr:pic>
      <xdr:nvPicPr>
        <xdr:cNvPr id="2" name="Picture 1">
          <a:extLst>
            <a:ext uri="{FF2B5EF4-FFF2-40B4-BE49-F238E27FC236}">
              <a16:creationId xmlns:a16="http://schemas.microsoft.com/office/drawing/2014/main" id="{D1047BE6-D456-4D3B-8658-C1345D15C024}"/>
            </a:ext>
          </a:extLst>
        </xdr:cNvPr>
        <xdr:cNvPicPr>
          <a:picLocks noChangeAspect="1"/>
        </xdr:cNvPicPr>
      </xdr:nvPicPr>
      <xdr:blipFill rotWithShape="1">
        <a:blip xmlns:r="http://schemas.openxmlformats.org/officeDocument/2006/relationships" r:embed="rId1"/>
        <a:srcRect r="59106"/>
        <a:stretch/>
      </xdr:blipFill>
      <xdr:spPr>
        <a:xfrm>
          <a:off x="1" y="190501"/>
          <a:ext cx="2212379" cy="914400"/>
        </a:xfrm>
        <a:prstGeom prst="rect">
          <a:avLst/>
        </a:prstGeom>
      </xdr:spPr>
    </xdr:pic>
    <xdr:clientData/>
  </xdr:twoCellAnchor>
  <xdr:twoCellAnchor editAs="oneCell">
    <xdr:from>
      <xdr:col>1</xdr:col>
      <xdr:colOff>1838325</xdr:colOff>
      <xdr:row>1</xdr:row>
      <xdr:rowOff>767715</xdr:rowOff>
    </xdr:from>
    <xdr:to>
      <xdr:col>1</xdr:col>
      <xdr:colOff>2710129</xdr:colOff>
      <xdr:row>1</xdr:row>
      <xdr:rowOff>1231433</xdr:rowOff>
    </xdr:to>
    <xdr:pic>
      <xdr:nvPicPr>
        <xdr:cNvPr id="3" name="Picture 6">
          <a:extLst>
            <a:ext uri="{FF2B5EF4-FFF2-40B4-BE49-F238E27FC236}">
              <a16:creationId xmlns:a16="http://schemas.microsoft.com/office/drawing/2014/main" id="{C797A627-F87A-4EFE-B5E3-FF1A8AAF2F35}"/>
            </a:ext>
          </a:extLst>
        </xdr:cNvPr>
        <xdr:cNvPicPr>
          <a:picLocks noChangeAspect="1"/>
        </xdr:cNvPicPr>
      </xdr:nvPicPr>
      <xdr:blipFill>
        <a:blip xmlns:r="http://schemas.openxmlformats.org/officeDocument/2006/relationships" r:embed="rId2"/>
        <a:stretch>
          <a:fillRect/>
        </a:stretch>
      </xdr:blipFill>
      <xdr:spPr>
        <a:xfrm>
          <a:off x="1990725" y="958215"/>
          <a:ext cx="871804" cy="4637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hyperlink" Target="https://www.cpuc.ca.gov/General.aspx?id=12093" TargetMode="External"/><Relationship Id="rId1" Type="http://schemas.openxmlformats.org/officeDocument/2006/relationships/hyperlink" Target="https://www.cpuc.ca.gov/General.aspx?id=64424628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D055B-5D09-4037-9387-11BD3339C6E2}">
  <sheetPr codeName="Sheet1">
    <tabColor theme="0"/>
  </sheetPr>
  <dimension ref="B2:C7"/>
  <sheetViews>
    <sheetView showGridLines="0" topLeftCell="C1" zoomScale="110" zoomScaleNormal="110" workbookViewId="0">
      <pane ySplit="3" topLeftCell="A4" activePane="bottomLeft" state="frozen"/>
      <selection pane="bottomLeft" activeCell="C4" sqref="C4"/>
    </sheetView>
  </sheetViews>
  <sheetFormatPr defaultColWidth="8.6640625" defaultRowHeight="14.4" x14ac:dyDescent="0.3"/>
  <cols>
    <col min="1" max="1" width="2.33203125" customWidth="1"/>
    <col min="2" max="2" width="42.33203125" customWidth="1"/>
    <col min="3" max="3" width="113.33203125" customWidth="1"/>
    <col min="10" max="10" width="11.6640625" customWidth="1"/>
    <col min="11" max="11" width="13" customWidth="1"/>
    <col min="12" max="12" width="10.6640625" customWidth="1"/>
    <col min="13" max="13" width="12.44140625" customWidth="1"/>
    <col min="15" max="15" width="17.33203125" customWidth="1"/>
    <col min="16" max="16" width="5.44140625" bestFit="1" customWidth="1"/>
    <col min="17" max="17" width="5.33203125" bestFit="1" customWidth="1"/>
    <col min="18" max="18" width="6.6640625" bestFit="1" customWidth="1"/>
    <col min="19" max="19" width="6.33203125" bestFit="1" customWidth="1"/>
    <col min="20" max="20" width="6.44140625" bestFit="1" customWidth="1"/>
    <col min="21" max="21" width="4.44140625" bestFit="1" customWidth="1"/>
    <col min="22" max="22" width="3.44140625" bestFit="1" customWidth="1"/>
    <col min="23" max="23" width="6.44140625" bestFit="1" customWidth="1"/>
    <col min="24" max="24" width="8.44140625" bestFit="1" customWidth="1"/>
  </cols>
  <sheetData>
    <row r="2" spans="2:3" ht="105.75" customHeight="1" x14ac:dyDescent="0.35">
      <c r="C2" s="1" t="s">
        <v>0</v>
      </c>
    </row>
    <row r="3" spans="2:3" ht="2.25" customHeight="1" x14ac:dyDescent="0.3"/>
    <row r="4" spans="2:3" ht="127.5" customHeight="1" x14ac:dyDescent="0.3">
      <c r="B4" s="2" t="s">
        <v>1</v>
      </c>
      <c r="C4" s="3" t="s">
        <v>2</v>
      </c>
    </row>
    <row r="5" spans="2:3" ht="103.5" customHeight="1" x14ac:dyDescent="0.3">
      <c r="B5" s="4" t="s">
        <v>3</v>
      </c>
      <c r="C5" s="3" t="s">
        <v>4</v>
      </c>
    </row>
    <row r="6" spans="2:3" ht="87" customHeight="1" x14ac:dyDescent="0.3">
      <c r="B6" s="5" t="s">
        <v>5</v>
      </c>
      <c r="C6" s="3" t="s">
        <v>6</v>
      </c>
    </row>
    <row r="7" spans="2:3" ht="49.2" customHeight="1" x14ac:dyDescent="0.3">
      <c r="B7" s="6" t="s">
        <v>7</v>
      </c>
      <c r="C7" s="3" t="s">
        <v>8</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81591-B5DD-4358-B95F-3E020824DE2A}">
  <sheetPr codeName="Sheet2">
    <tabColor theme="7" tint="0.79998168889431442"/>
  </sheetPr>
  <dimension ref="B2:AC32"/>
  <sheetViews>
    <sheetView showGridLines="0" tabSelected="1" zoomScaleNormal="100" workbookViewId="0">
      <selection activeCell="E8" sqref="E8"/>
    </sheetView>
  </sheetViews>
  <sheetFormatPr defaultColWidth="8.6640625" defaultRowHeight="14.4" x14ac:dyDescent="0.3"/>
  <cols>
    <col min="1" max="1" width="5.44140625" customWidth="1"/>
    <col min="2" max="2" width="26.109375" customWidth="1"/>
    <col min="3" max="3" width="20" customWidth="1"/>
    <col min="4" max="4" width="18" customWidth="1"/>
    <col min="5" max="5" width="20.44140625" customWidth="1"/>
    <col min="6" max="6" width="20.6640625" customWidth="1"/>
    <col min="7" max="7" width="18.44140625" customWidth="1"/>
    <col min="8" max="8" width="18.6640625" customWidth="1"/>
    <col min="9" max="9" width="19.6640625" customWidth="1"/>
    <col min="10" max="10" width="23.6640625" customWidth="1"/>
  </cols>
  <sheetData>
    <row r="2" spans="2:29" x14ac:dyDescent="0.3">
      <c r="C2" s="12"/>
      <c r="D2" s="13" t="s">
        <v>9</v>
      </c>
    </row>
    <row r="3" spans="2:29" x14ac:dyDescent="0.3">
      <c r="C3" s="14"/>
      <c r="D3" s="13" t="s">
        <v>10</v>
      </c>
    </row>
    <row r="5" spans="2:29" x14ac:dyDescent="0.3">
      <c r="B5" s="7" t="s">
        <v>11</v>
      </c>
    </row>
    <row r="6" spans="2:29" x14ac:dyDescent="0.3">
      <c r="B6" s="8"/>
      <c r="C6" s="9" t="s">
        <v>12</v>
      </c>
      <c r="D6" s="9" t="s">
        <v>13</v>
      </c>
      <c r="AC6" t="s">
        <v>86</v>
      </c>
    </row>
    <row r="7" spans="2:29" x14ac:dyDescent="0.3">
      <c r="B7" s="10" t="s">
        <v>14</v>
      </c>
      <c r="C7" s="33" t="str">
        <f>IF(C8="geothermal",AC6,"biomass")</f>
        <v>EPC-14-002</v>
      </c>
      <c r="D7" s="11" t="s">
        <v>15</v>
      </c>
    </row>
    <row r="8" spans="2:29" ht="33" customHeight="1" x14ac:dyDescent="0.3">
      <c r="B8" s="10" t="s">
        <v>16</v>
      </c>
      <c r="C8" s="33" t="s">
        <v>65</v>
      </c>
      <c r="D8" s="11" t="s">
        <v>15</v>
      </c>
    </row>
    <row r="9" spans="2:29" ht="28.8" x14ac:dyDescent="0.3">
      <c r="B9" s="46" t="s">
        <v>18</v>
      </c>
      <c r="C9" s="34" t="s">
        <v>81</v>
      </c>
      <c r="D9" s="11" t="s">
        <v>15</v>
      </c>
    </row>
    <row r="11" spans="2:29" x14ac:dyDescent="0.3">
      <c r="I11" s="16"/>
    </row>
    <row r="12" spans="2:29" x14ac:dyDescent="0.3">
      <c r="B12" s="7" t="s">
        <v>19</v>
      </c>
      <c r="C12" s="7" t="str">
        <f>IF(C8="Other","When 'Other' is selected, users must provide manual inputs for baseline values in the table below.",IF(NOT(ISERROR(SEARCH("Battery",C8))),"For battery applications, system costs include capacity (installed power)and duration (number of cells).",""))</f>
        <v/>
      </c>
      <c r="I12" s="16"/>
    </row>
    <row r="13" spans="2:29" x14ac:dyDescent="0.3">
      <c r="B13" s="7"/>
      <c r="C13" s="7"/>
      <c r="I13" s="16"/>
    </row>
    <row r="14" spans="2:29" x14ac:dyDescent="0.3">
      <c r="B14" t="s">
        <v>20</v>
      </c>
    </row>
    <row r="15" spans="2:29" ht="28.8" x14ac:dyDescent="0.3">
      <c r="B15" s="9" t="s">
        <v>21</v>
      </c>
      <c r="C15" s="9" t="s">
        <v>22</v>
      </c>
      <c r="D15" s="9" t="s">
        <v>23</v>
      </c>
      <c r="E15" s="9" t="s">
        <v>24</v>
      </c>
      <c r="F15" s="9" t="s">
        <v>25</v>
      </c>
      <c r="G15" s="9" t="s">
        <v>26</v>
      </c>
      <c r="H15" s="9" t="s">
        <v>27</v>
      </c>
    </row>
    <row r="16" spans="2:29" x14ac:dyDescent="0.3">
      <c r="B16" s="10" t="s">
        <v>28</v>
      </c>
      <c r="C16" s="34" t="s">
        <v>82</v>
      </c>
      <c r="D16" s="34" t="s">
        <v>83</v>
      </c>
      <c r="E16" s="30">
        <f>IF(NOT(ISERROR(SEARCH("Battery",$C$8))),INDEX(Defaults!$C$31:$E$37,MATCH(B16,Defaults!$B$31:$B$37,0),MATCH($C$8,Defaults!$C$30:$E$30,0)),INDEX(Defaults!$C$12:$P$18,MATCH(B16,Defaults!$B$12:$B$18,0),MATCH($C$8,Defaults!$C$11:$P$11,0)))</f>
        <v>0.9</v>
      </c>
      <c r="F16" s="35">
        <v>0.5</v>
      </c>
      <c r="G16" s="35">
        <v>0.56000000000000005</v>
      </c>
      <c r="H16" s="48">
        <f>IF($D16="Manual input",(G16-F16)/ABS(F16),(G16-E16)/ABS(E16))</f>
        <v>0.12000000000000011</v>
      </c>
    </row>
    <row r="17" spans="2:8" x14ac:dyDescent="0.3">
      <c r="B17" s="10" t="s">
        <v>29</v>
      </c>
      <c r="C17" s="34" t="s">
        <v>84</v>
      </c>
      <c r="D17" s="34" t="s">
        <v>85</v>
      </c>
      <c r="E17" s="53">
        <f>IF(NOT(ISERROR(SEARCH("Battery",$C$8))),INDEX(Defaults!$C$31:$E$37,MATCH(B17,Defaults!$B$31:$B$37,0),MATCH($C$8,Defaults!$C$30:$E$30,0)),INDEX(Defaults!$C$12:$P$18,MATCH(B17,Defaults!$B$12:$B$18,0),MATCH($C$8,Defaults!$C$11:$P$11,0)))</f>
        <v>0</v>
      </c>
      <c r="F17" s="50"/>
      <c r="G17" s="50">
        <v>3.0000000000000001E-3</v>
      </c>
      <c r="H17" s="48" t="e">
        <f t="shared" ref="H17:H20" si="0">IF($D17="Manual input",(F17-G17)/ABS(F17),(E17-G17)/ABS(E17))</f>
        <v>#DIV/0!</v>
      </c>
    </row>
    <row r="18" spans="2:8" x14ac:dyDescent="0.3">
      <c r="B18" s="10" t="s">
        <v>30</v>
      </c>
      <c r="C18" s="34" t="s">
        <v>84</v>
      </c>
      <c r="D18" s="34"/>
      <c r="E18" s="45">
        <f>IF(NOT(ISERROR(SEARCH("Battery",$C$8))),INDEX(Defaults!$C$31:$E$37,MATCH(B18,Defaults!$B$31:$B$37,0),MATCH($C$8,Defaults!$C$30:$E$30,0)),INDEX(Defaults!$C$12:$P$18,MATCH(B18,Defaults!$B$12:$B$18,0),MATCH($C$8,Defaults!$C$11:$P$11,0)))</f>
        <v>5127.3428766488341</v>
      </c>
      <c r="F18" s="36"/>
      <c r="G18" s="37">
        <v>4800</v>
      </c>
      <c r="H18" s="48">
        <f t="shared" si="0"/>
        <v>6.3842595380081399E-2</v>
      </c>
    </row>
    <row r="19" spans="2:8" x14ac:dyDescent="0.3">
      <c r="B19" s="10" t="s">
        <v>31</v>
      </c>
      <c r="C19" s="34" t="s">
        <v>84</v>
      </c>
      <c r="D19" s="34"/>
      <c r="E19" s="45">
        <f>IF(NOT(ISERROR(SEARCH("Battery",$C$8))),INDEX(Defaults!$C$31:$E$37,MATCH(B19,Defaults!$B$31:$B$37,0),MATCH($C$8,Defaults!$C$30:$E$30,0)),INDEX(Defaults!$C$12:$P$18,MATCH(B19,Defaults!$B$12:$B$18,0),MATCH($C$8,Defaults!$C$11:$P$11,0)))</f>
        <v>144.85899999999998</v>
      </c>
      <c r="F19" s="36"/>
      <c r="G19" s="37">
        <v>140</v>
      </c>
      <c r="H19" s="48">
        <f t="shared" si="0"/>
        <v>3.3542962466950488E-2</v>
      </c>
    </row>
    <row r="20" spans="2:8" x14ac:dyDescent="0.3">
      <c r="B20" s="10" t="s">
        <v>32</v>
      </c>
      <c r="C20" s="34" t="s">
        <v>84</v>
      </c>
      <c r="D20" s="34"/>
      <c r="E20" s="45">
        <f>IF(NOT(ISERROR(SEARCH("Battery",$C$8))),INDEX(Defaults!$C$31:$E$37,MATCH(B20,Defaults!$B$31:$B$37,0),MATCH($C$8,Defaults!$C$30:$E$30,0)),INDEX(Defaults!$C$12:$P$18,MATCH(B20,Defaults!$B$12:$B$18,0),MATCH($C$8,Defaults!$C$11:$P$11,0)))</f>
        <v>0</v>
      </c>
      <c r="F20" s="36"/>
      <c r="G20" s="37"/>
      <c r="H20" s="48" t="e">
        <f t="shared" si="0"/>
        <v>#DIV/0!</v>
      </c>
    </row>
    <row r="21" spans="2:8" x14ac:dyDescent="0.3">
      <c r="B21" s="10" t="s">
        <v>33</v>
      </c>
      <c r="C21" s="34" t="s">
        <v>84</v>
      </c>
      <c r="D21" s="34"/>
      <c r="E21" s="45">
        <f>IF(NOT(ISERROR(SEARCH("Battery",$C$8))),INDEX(Defaults!$C$31:$E$37,MATCH(B21,Defaults!$B$31:$B$37,0),MATCH($C$8,Defaults!$C$30:$E$30,0)),INDEX(Defaults!$C$12:$P$18,MATCH(B21,Defaults!$B$12:$B$18,0),MATCH($C$8,Defaults!$C$11:$P$11,0)))</f>
        <v>0</v>
      </c>
      <c r="F21" s="36"/>
      <c r="G21" s="37"/>
      <c r="H21" s="48" t="e">
        <f>IF($D21="Manual input",(F21-G21)/ABS(F21),(E21-G21)/ABS(E21))</f>
        <v>#DIV/0!</v>
      </c>
    </row>
    <row r="22" spans="2:8" x14ac:dyDescent="0.3">
      <c r="B22" s="10" t="s">
        <v>34</v>
      </c>
      <c r="C22" s="34"/>
      <c r="D22" s="34"/>
      <c r="E22" s="52">
        <f>IF(NOT(ISERROR(SEARCH("Battery",$C$8))),INDEX(Defaults!$C$31:$E$37,MATCH(B22,Defaults!$B$31:$B$37,0),MATCH($C$8,Defaults!$C$30:$E$30,0)),INDEX(Defaults!$C$12:$P$18,MATCH(B22,Defaults!$B$12:$B$18,0),MATCH($C$8,Defaults!$C$11:$P$11,0)))</f>
        <v>0</v>
      </c>
      <c r="F22" s="51"/>
      <c r="G22" s="47"/>
      <c r="H22" s="48" t="e">
        <f>IF($D22="Manual input",(F22-G22)/ABS(F22),(E22-G22)/ABS(E22))</f>
        <v>#DIV/0!</v>
      </c>
    </row>
    <row r="24" spans="2:8" x14ac:dyDescent="0.3">
      <c r="B24" t="s">
        <v>35</v>
      </c>
    </row>
    <row r="25" spans="2:8" ht="28.8" x14ac:dyDescent="0.3">
      <c r="B25" s="9" t="s">
        <v>21</v>
      </c>
      <c r="C25" s="9" t="s">
        <v>22</v>
      </c>
      <c r="D25" s="9" t="s">
        <v>23</v>
      </c>
      <c r="E25" s="9" t="s">
        <v>24</v>
      </c>
      <c r="F25" s="9" t="s">
        <v>25</v>
      </c>
      <c r="G25" s="9" t="s">
        <v>36</v>
      </c>
      <c r="H25" s="9" t="s">
        <v>37</v>
      </c>
    </row>
    <row r="26" spans="2:8" x14ac:dyDescent="0.3">
      <c r="B26" s="10" t="s">
        <v>28</v>
      </c>
      <c r="C26" s="34" t="s">
        <v>84</v>
      </c>
      <c r="D26" s="34" t="s">
        <v>85</v>
      </c>
      <c r="E26" s="30">
        <f>IF(NOT(ISERROR(SEARCH("Battery",$C$8))),INDEX(Defaults!$C$31:$E$37,MATCH(B26,Defaults!$B$31:$B$37,0),MATCH($C$8,Defaults!$C$30:$E$30,0)),INDEX(Defaults!$C$12:$P$18,MATCH(B26,Defaults!$B$12:$B$18,0),MATCH($C$8,Defaults!$C$11:$P$11,0)))</f>
        <v>0.9</v>
      </c>
      <c r="F26" s="35">
        <v>0.5</v>
      </c>
      <c r="G26" s="35">
        <v>0.03</v>
      </c>
      <c r="H26" s="48">
        <f>IF($D26="Manual input",G26*ABS(F26)+F26,G26*ABS(E26)+E26)</f>
        <v>0.92700000000000005</v>
      </c>
    </row>
    <row r="27" spans="2:8" x14ac:dyDescent="0.3">
      <c r="B27" s="10" t="s">
        <v>29</v>
      </c>
      <c r="C27" s="34" t="s">
        <v>84</v>
      </c>
      <c r="D27" s="34"/>
      <c r="E27" s="53">
        <f>IF(NOT(ISERROR(SEARCH("Battery",$C$8))),INDEX(Defaults!$C$31:$E$37,MATCH(B27,Defaults!$B$31:$B$37,0),MATCH($C$8,Defaults!$C$30:$E$30,0)),INDEX(Defaults!$C$12:$P$18,MATCH(B27,Defaults!$B$12:$B$18,0),MATCH($C$8,Defaults!$C$11:$P$11,0)))</f>
        <v>0</v>
      </c>
      <c r="F27" s="35"/>
      <c r="G27" s="35"/>
      <c r="H27" s="32">
        <f t="shared" ref="H27:H30" si="1">IF($D27="Manual input",F27-G27*ABS(F27),E27-G27*ABS(E27))</f>
        <v>0</v>
      </c>
    </row>
    <row r="28" spans="2:8" x14ac:dyDescent="0.3">
      <c r="B28" s="10" t="s">
        <v>30</v>
      </c>
      <c r="C28" s="34" t="s">
        <v>84</v>
      </c>
      <c r="D28" s="34"/>
      <c r="E28" s="45">
        <f>IF(NOT(ISERROR(SEARCH("Battery",$C$8))),INDEX(Defaults!$C$31:$E$37,MATCH(B28,Defaults!$B$31:$B$37,0),MATCH($C$8,Defaults!$C$30:$E$30,0)),INDEX(Defaults!$C$12:$P$18,MATCH(B28,Defaults!$B$12:$B$18,0),MATCH($C$8,Defaults!$C$11:$P$11,0)))</f>
        <v>5127.3428766488341</v>
      </c>
      <c r="F28" s="36"/>
      <c r="G28" s="35">
        <v>0.1</v>
      </c>
      <c r="H28" s="31">
        <f t="shared" si="1"/>
        <v>4614.6085889839505</v>
      </c>
    </row>
    <row r="29" spans="2:8" x14ac:dyDescent="0.3">
      <c r="B29" s="10" t="s">
        <v>31</v>
      </c>
      <c r="C29" s="34" t="s">
        <v>84</v>
      </c>
      <c r="D29" s="34"/>
      <c r="E29" s="45">
        <f>IF(NOT(ISERROR(SEARCH("Battery",$C$8))),INDEX(Defaults!$C$31:$E$37,MATCH(B29,Defaults!$B$31:$B$37,0),MATCH($C$8,Defaults!$C$30:$E$30,0)),INDEX(Defaults!$C$12:$P$18,MATCH(B29,Defaults!$B$12:$B$18,0),MATCH($C$8,Defaults!$C$11:$P$11,0)))</f>
        <v>144.85899999999998</v>
      </c>
      <c r="F29" s="36"/>
      <c r="G29" s="35"/>
      <c r="H29" s="31">
        <f t="shared" si="1"/>
        <v>144.85899999999998</v>
      </c>
    </row>
    <row r="30" spans="2:8" x14ac:dyDescent="0.3">
      <c r="B30" s="10" t="s">
        <v>32</v>
      </c>
      <c r="C30" s="34" t="s">
        <v>84</v>
      </c>
      <c r="D30" s="34"/>
      <c r="E30" s="45">
        <f>IF(NOT(ISERROR(SEARCH("Battery",$C$8))),INDEX(Defaults!$C$31:$E$37,MATCH(B30,Defaults!$B$31:$B$37,0),MATCH($C$8,Defaults!$C$30:$E$30,0)),INDEX(Defaults!$C$12:$P$18,MATCH(B30,Defaults!$B$12:$B$18,0),MATCH($C$8,Defaults!$C$11:$P$11,0)))</f>
        <v>0</v>
      </c>
      <c r="F30" s="36"/>
      <c r="G30" s="35"/>
      <c r="H30" s="31">
        <f t="shared" si="1"/>
        <v>0</v>
      </c>
    </row>
    <row r="31" spans="2:8" x14ac:dyDescent="0.3">
      <c r="B31" s="10" t="s">
        <v>33</v>
      </c>
      <c r="C31" s="34" t="s">
        <v>84</v>
      </c>
      <c r="D31" s="34"/>
      <c r="E31" s="45">
        <f>IF(NOT(ISERROR(SEARCH("Battery",$C$8))),INDEX(Defaults!$C$31:$E$37,MATCH(B31,Defaults!$B$31:$B$37,0),MATCH($C$8,Defaults!$C$30:$E$30,0)),INDEX(Defaults!$C$12:$P$18,MATCH(B31,Defaults!$B$12:$B$18,0),MATCH($C$8,Defaults!$C$11:$P$11,0)))</f>
        <v>0</v>
      </c>
      <c r="F31" s="36"/>
      <c r="G31" s="35">
        <v>0.1</v>
      </c>
      <c r="H31" s="31">
        <f>IF($D31="Manual input",F31-G31*ABS(F31),E31-G31*ABS(E31))</f>
        <v>0</v>
      </c>
    </row>
    <row r="32" spans="2:8" x14ac:dyDescent="0.3">
      <c r="B32" s="10" t="s">
        <v>34</v>
      </c>
      <c r="C32" s="34" t="s">
        <v>84</v>
      </c>
      <c r="D32" s="34"/>
      <c r="E32" s="52">
        <f>IF(NOT(ISERROR(SEARCH("Battery",$C$8))),INDEX(Defaults!$C$31:$E$37,MATCH(B32,Defaults!$B$31:$B$37,0),MATCH($C$8,Defaults!$C$30:$E$30,0)),INDEX(Defaults!$C$12:$P$18,MATCH(B32,Defaults!$B$12:$B$18,0),MATCH($C$8,Defaults!$C$11:$P$11,0)))</f>
        <v>0</v>
      </c>
      <c r="F32" s="38"/>
      <c r="G32" s="35">
        <v>0.2</v>
      </c>
      <c r="H32" s="49">
        <f>IF($D32="Manual input",F32-G32*ABS(F32),E32-G32*ABS(E32))</f>
        <v>0</v>
      </c>
    </row>
  </sheetData>
  <conditionalFormatting sqref="C7:C9 F16:G22 F26:G32 C16:D22 C26:D32">
    <cfRule type="expression" dxfId="32" priority="146">
      <formula>NOT(ISBLANK(C7))</formula>
    </cfRule>
  </conditionalFormatting>
  <conditionalFormatting sqref="E18:E22 D16:G17 E28:E32 D26:H27 H29:H32 H16:H22 D17:D22">
    <cfRule type="expression" dxfId="31" priority="68">
      <formula>$C16&lt;&gt;"Yes"</formula>
    </cfRule>
  </conditionalFormatting>
  <conditionalFormatting sqref="D18 F18:G18">
    <cfRule type="expression" dxfId="30" priority="79">
      <formula>$C18&lt;&gt;"Yes"</formula>
    </cfRule>
  </conditionalFormatting>
  <conditionalFormatting sqref="D19 F19:G19">
    <cfRule type="expression" dxfId="29" priority="78">
      <formula>$C19&lt;&gt;"Yes"</formula>
    </cfRule>
  </conditionalFormatting>
  <conditionalFormatting sqref="D20 F20:G20">
    <cfRule type="expression" dxfId="28" priority="70">
      <formula>$C20&lt;&gt;"Yes"</formula>
    </cfRule>
  </conditionalFormatting>
  <conditionalFormatting sqref="D21 F21:G21">
    <cfRule type="expression" dxfId="27" priority="69">
      <formula>$C21&lt;&gt;"Yes"</formula>
    </cfRule>
  </conditionalFormatting>
  <conditionalFormatting sqref="D22 F22:G22">
    <cfRule type="expression" dxfId="26" priority="75">
      <formula>$C22&lt;&gt;"Yes"</formula>
    </cfRule>
  </conditionalFormatting>
  <conditionalFormatting sqref="F16 F26">
    <cfRule type="expression" dxfId="25" priority="57">
      <formula>$D16&lt;&gt;"Manual input"</formula>
    </cfRule>
  </conditionalFormatting>
  <conditionalFormatting sqref="F18">
    <cfRule type="expression" dxfId="24" priority="72">
      <formula>$D18&lt;&gt;"Manual input"</formula>
    </cfRule>
  </conditionalFormatting>
  <conditionalFormatting sqref="F19">
    <cfRule type="expression" dxfId="23" priority="71">
      <formula>$D19&lt;&gt;"Manual input"</formula>
    </cfRule>
  </conditionalFormatting>
  <conditionalFormatting sqref="F20">
    <cfRule type="expression" dxfId="22" priority="56">
      <formula>$D20&lt;&gt;"Manual input"</formula>
    </cfRule>
  </conditionalFormatting>
  <conditionalFormatting sqref="F21">
    <cfRule type="expression" dxfId="21" priority="55">
      <formula>$D21&lt;&gt;"Manual input"</formula>
    </cfRule>
  </conditionalFormatting>
  <conditionalFormatting sqref="F22 F17 F27">
    <cfRule type="expression" dxfId="20" priority="22">
      <formula>$D17&lt;&gt;"Manual input"</formula>
    </cfRule>
  </conditionalFormatting>
  <conditionalFormatting sqref="D28 G28:H28">
    <cfRule type="expression" dxfId="19" priority="47">
      <formula>$C28&lt;&gt;"Yes"</formula>
    </cfRule>
  </conditionalFormatting>
  <conditionalFormatting sqref="D29 G29">
    <cfRule type="expression" dxfId="18" priority="46">
      <formula>$C29&lt;&gt;"Yes"</formula>
    </cfRule>
  </conditionalFormatting>
  <conditionalFormatting sqref="D30 G30">
    <cfRule type="expression" dxfId="17" priority="38">
      <formula>$C30&lt;&gt;"Yes"</formula>
    </cfRule>
  </conditionalFormatting>
  <conditionalFormatting sqref="D31 G31">
    <cfRule type="expression" dxfId="16" priority="37">
      <formula>$C31&lt;&gt;"Yes"</formula>
    </cfRule>
  </conditionalFormatting>
  <conditionalFormatting sqref="D32 G32">
    <cfRule type="expression" dxfId="15" priority="43">
      <formula>$C32&lt;&gt;"Yes"</formula>
    </cfRule>
  </conditionalFormatting>
  <conditionalFormatting sqref="F28">
    <cfRule type="expression" dxfId="14" priority="19">
      <formula>$C28&lt;&gt;"Yes"</formula>
    </cfRule>
  </conditionalFormatting>
  <conditionalFormatting sqref="F29">
    <cfRule type="expression" dxfId="13" priority="18">
      <formula>$C29&lt;&gt;"Yes"</formula>
    </cfRule>
  </conditionalFormatting>
  <conditionalFormatting sqref="F30">
    <cfRule type="expression" dxfId="12" priority="10">
      <formula>$C30&lt;&gt;"Yes"</formula>
    </cfRule>
  </conditionalFormatting>
  <conditionalFormatting sqref="F31">
    <cfRule type="expression" dxfId="11" priority="9">
      <formula>$C31&lt;&gt;"Yes"</formula>
    </cfRule>
  </conditionalFormatting>
  <conditionalFormatting sqref="F32">
    <cfRule type="expression" dxfId="10" priority="15">
      <formula>$C32&lt;&gt;"Yes"</formula>
    </cfRule>
  </conditionalFormatting>
  <conditionalFormatting sqref="F28">
    <cfRule type="expression" dxfId="9" priority="12">
      <formula>$D28&lt;&gt;"Manual input"</formula>
    </cfRule>
  </conditionalFormatting>
  <conditionalFormatting sqref="F29">
    <cfRule type="expression" dxfId="8" priority="11">
      <formula>$D29&lt;&gt;"Manual input"</formula>
    </cfRule>
  </conditionalFormatting>
  <conditionalFormatting sqref="F30">
    <cfRule type="expression" dxfId="7" priority="5">
      <formula>$D30&lt;&gt;"Manual input"</formula>
    </cfRule>
  </conditionalFormatting>
  <conditionalFormatting sqref="F31">
    <cfRule type="expression" dxfId="6" priority="4">
      <formula>$D31&lt;&gt;"Manual input"</formula>
    </cfRule>
  </conditionalFormatting>
  <conditionalFormatting sqref="F32">
    <cfRule type="expression" dxfId="5" priority="8">
      <formula>$D32&lt;&gt;"Manual input"</formula>
    </cfRule>
  </conditionalFormatting>
  <conditionalFormatting sqref="B14:H22">
    <cfRule type="expression" dxfId="4" priority="3">
      <formula>$C$9="Percent improvement"</formula>
    </cfRule>
  </conditionalFormatting>
  <conditionalFormatting sqref="B24:H32">
    <cfRule type="expression" dxfId="3" priority="2">
      <formula>$C$9="Known quantity"</formula>
    </cfRule>
  </conditionalFormatting>
  <conditionalFormatting sqref="D29:D32">
    <cfRule type="expression" dxfId="2" priority="1">
      <formula>$C29&lt;&gt;"Yes"</formula>
    </cfRule>
  </conditionalFormatting>
  <dataValidations count="3">
    <dataValidation type="list" allowBlank="1" showInputMessage="1" showErrorMessage="1" sqref="C16:C22 C26:C32" xr:uid="{1F4E2555-3E60-46CF-8B1B-D3B5811DE9FD}">
      <formula1>"Yes,No"</formula1>
    </dataValidation>
    <dataValidation type="list" allowBlank="1" showInputMessage="1" showErrorMessage="1" sqref="C9" xr:uid="{E71D851D-CCD1-4736-A545-42A4582A2CF8}">
      <formula1>"Known quantity, Percent improvement"</formula1>
    </dataValidation>
    <dataValidation type="list" allowBlank="1" showInputMessage="1" showErrorMessage="1" sqref="D16:D22 D26:D32" xr:uid="{D3949452-896A-4334-AF57-624CA3078D99}">
      <formula1>"Use default data, Manual input"</formula1>
    </dataValidation>
  </dataValidations>
  <pageMargins left="0.7" right="0.7" top="0.75" bottom="0.75" header="0.3" footer="0.3"/>
  <pageSetup orientation="portrait" r:id="rId1"/>
  <ignoredErrors>
    <ignoredError sqref="E16:E22 E26:E32 H16:H32"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D8A95790-15E0-49A3-B9EC-F252879CCAB2}">
          <x14:formula1>
            <xm:f>Defaults!$C$11:$P$11</xm:f>
          </x14:formula1>
          <xm:sqref>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0D923-12DE-49ED-8271-8AC2AD13604B}">
  <sheetPr codeName="Sheet3">
    <tabColor rgb="FFFFC000"/>
  </sheetPr>
  <dimension ref="A2:H27"/>
  <sheetViews>
    <sheetView showGridLines="0" zoomScaleNormal="100" workbookViewId="0">
      <selection activeCell="G24" sqref="G24"/>
    </sheetView>
  </sheetViews>
  <sheetFormatPr defaultColWidth="8.6640625" defaultRowHeight="14.4" x14ac:dyDescent="0.3"/>
  <cols>
    <col min="1" max="1" width="3.44140625" customWidth="1"/>
    <col min="2" max="2" width="31" customWidth="1"/>
    <col min="3" max="3" width="18.109375" customWidth="1"/>
    <col min="4" max="4" width="17.6640625" customWidth="1"/>
    <col min="5" max="5" width="19.109375" customWidth="1"/>
    <col min="7" max="7" width="13.5546875" bestFit="1" customWidth="1"/>
  </cols>
  <sheetData>
    <row r="2" spans="1:5" ht="38.25" customHeight="1" x14ac:dyDescent="0.35">
      <c r="B2" s="78" t="s">
        <v>38</v>
      </c>
      <c r="C2" s="78"/>
      <c r="D2" s="78"/>
    </row>
    <row r="3" spans="1:5" ht="35.25" customHeight="1" x14ac:dyDescent="0.35">
      <c r="A3" s="29"/>
      <c r="B3" s="78" t="str">
        <f>_xlfn.CONCAT('General inputs'!C7, " - ", 'General inputs'!$C$8)</f>
        <v>EPC-14-002 - Geothermal</v>
      </c>
      <c r="C3" s="78"/>
      <c r="D3" s="78"/>
    </row>
    <row r="4" spans="1:5" ht="18" x14ac:dyDescent="0.35">
      <c r="B4" s="18"/>
      <c r="C4" s="18"/>
    </row>
    <row r="5" spans="1:5" x14ac:dyDescent="0.3">
      <c r="B5" s="7" t="s">
        <v>39</v>
      </c>
    </row>
    <row r="6" spans="1:5" x14ac:dyDescent="0.3">
      <c r="B6" s="17" t="s">
        <v>21</v>
      </c>
      <c r="C6" s="17" t="s">
        <v>40</v>
      </c>
      <c r="D6" s="17" t="s">
        <v>41</v>
      </c>
      <c r="E6" s="17" t="s">
        <v>36</v>
      </c>
    </row>
    <row r="7" spans="1:5" x14ac:dyDescent="0.3">
      <c r="B7" s="10" t="s">
        <v>28</v>
      </c>
      <c r="C7" s="19">
        <f>IF('General inputs'!$C$9="Known quantity",IF(AND('General inputs'!D16="Manual input",'General inputs'!C16="Yes"),'General inputs'!F16,'General inputs'!E16),IF(AND('General inputs'!D26="Manual input",'General inputs'!C26="Yes"),'General inputs'!F26,'General inputs'!E26))</f>
        <v>0.9</v>
      </c>
      <c r="D7" s="19">
        <f>IF('General inputs'!$C$9="Known quantity",IF('General inputs'!C16="Yes",'General inputs'!G16,'General inputs'!E16),IF('General inputs'!C26="Yes",'General inputs'!H26,'General inputs'!E26))</f>
        <v>0.9</v>
      </c>
      <c r="E7" s="20">
        <f>IFERROR((D7-C7)/ABS(C7),"N/A")</f>
        <v>0</v>
      </c>
    </row>
    <row r="8" spans="1:5" x14ac:dyDescent="0.3">
      <c r="B8" s="10" t="s">
        <v>29</v>
      </c>
      <c r="C8" s="42">
        <f>IF('General inputs'!$C$9="Known quantity",IF(AND('General inputs'!D17="Manual input",'General inputs'!C17="Yes"),'General inputs'!F17,'General inputs'!E17),IF(AND('General inputs'!D27="Manual input",'General inputs'!C27="Yes"),'General inputs'!F27,'General inputs'!E27))</f>
        <v>0</v>
      </c>
      <c r="D8" s="42">
        <f>IF('General inputs'!$C$9="Known quantity",IF('General inputs'!C17="Yes",'General inputs'!G17,'General inputs'!E17),IF('General inputs'!C27="Yes",'General inputs'!H27,'General inputs'!E27))</f>
        <v>0</v>
      </c>
      <c r="E8" s="20" t="str">
        <f>IFERROR((C8-D8)/ABS(C8),"N/A")</f>
        <v>N/A</v>
      </c>
    </row>
    <row r="9" spans="1:5" x14ac:dyDescent="0.3">
      <c r="B9" s="10" t="s">
        <v>30</v>
      </c>
      <c r="C9" s="27">
        <f>IF('General inputs'!$C$9="Known quantity",IF(AND('General inputs'!D18="Manual input",'General inputs'!C18="Yes"),'General inputs'!F18,'General inputs'!E18),IF(AND('General inputs'!D28="Manual input",'General inputs'!C28="Yes"),'General inputs'!F28,'General inputs'!E28))</f>
        <v>5127.3428766488341</v>
      </c>
      <c r="D9" s="27">
        <f>IF('General inputs'!$C$9="Known quantity",IF('General inputs'!C18="Yes",'General inputs'!G18,'General inputs'!E18),IF('General inputs'!C28="Yes",'General inputs'!H28,'General inputs'!E28))</f>
        <v>5127.3428766488341</v>
      </c>
      <c r="E9" s="20">
        <f t="shared" ref="E9:E13" si="0">IFERROR((C9-D9)/ABS(C9),"N/A")</f>
        <v>0</v>
      </c>
    </row>
    <row r="10" spans="1:5" x14ac:dyDescent="0.3">
      <c r="B10" s="10" t="s">
        <v>31</v>
      </c>
      <c r="C10" s="27">
        <f>IF('General inputs'!$C$9="Known quantity",IF(AND('General inputs'!D19="Manual input",'General inputs'!C19="Yes"),'General inputs'!F19,'General inputs'!E19),IF(AND('General inputs'!D29="Manual input",'General inputs'!C29="Yes"),'General inputs'!F29,'General inputs'!E29))</f>
        <v>144.85899999999998</v>
      </c>
      <c r="D10" s="27">
        <f>IF('General inputs'!$C$9="Known quantity",IF('General inputs'!C19="Yes",'General inputs'!G19,'General inputs'!E19),IF('General inputs'!C29="Yes",'General inputs'!H29,'General inputs'!E29))</f>
        <v>144.85899999999998</v>
      </c>
      <c r="E10" s="20">
        <f t="shared" si="0"/>
        <v>0</v>
      </c>
    </row>
    <row r="11" spans="1:5" x14ac:dyDescent="0.3">
      <c r="B11" s="10" t="s">
        <v>32</v>
      </c>
      <c r="C11" s="27">
        <f>IF('General inputs'!$C$9="Known quantity",IF(AND('General inputs'!D20="Manual input",'General inputs'!C20="Yes"),'General inputs'!F20,'General inputs'!E20),IF(AND('General inputs'!D30="Manual input",'General inputs'!C30="Yes"),'General inputs'!F30,'General inputs'!E30))</f>
        <v>0</v>
      </c>
      <c r="D11" s="27">
        <f>IF('General inputs'!$C$9="Known quantity",IF('General inputs'!C20="Yes",'General inputs'!G20,'General inputs'!E20),IF('General inputs'!C30="Yes",'General inputs'!H30,'General inputs'!E30))</f>
        <v>0</v>
      </c>
      <c r="E11" s="20" t="str">
        <f t="shared" si="0"/>
        <v>N/A</v>
      </c>
    </row>
    <row r="12" spans="1:5" x14ac:dyDescent="0.3">
      <c r="B12" s="10" t="s">
        <v>33</v>
      </c>
      <c r="C12" s="27">
        <f>IF('General inputs'!$C$9="Known quantity",IF(AND('General inputs'!D21="Manual input",'General inputs'!C21="Yes"),'General inputs'!F21,'General inputs'!E21),IF(AND('General inputs'!D31="Manual input",'General inputs'!C31="Yes"),'General inputs'!F31,'General inputs'!E31))</f>
        <v>0</v>
      </c>
      <c r="D12" s="27">
        <f>IF('General inputs'!$C$9="Known quantity",IF('General inputs'!C21="Yes",'General inputs'!G21,'General inputs'!E21),IF('General inputs'!C31="Yes",'General inputs'!H31,'General inputs'!E31))</f>
        <v>0</v>
      </c>
      <c r="E12" s="20" t="str">
        <f t="shared" si="0"/>
        <v>N/A</v>
      </c>
    </row>
    <row r="13" spans="1:5" x14ac:dyDescent="0.3">
      <c r="B13" s="10" t="s">
        <v>34</v>
      </c>
      <c r="C13" s="54">
        <f>IF('General inputs'!$C$9="Known quantity",IF(AND('General inputs'!D22="Manual input",'General inputs'!C22="Yes"),'General inputs'!F22,'General inputs'!E22),IF(AND('General inputs'!D32="Manual input",'General inputs'!C32="Yes"),'General inputs'!F32,'General inputs'!E32))</f>
        <v>0</v>
      </c>
      <c r="D13" s="54">
        <f>IF('General inputs'!$C$9="Known quantity",IF('General inputs'!C22="Yes",'General inputs'!G22,'General inputs'!E22),IF('General inputs'!C32="Yes",'General inputs'!H32,'General inputs'!E32))</f>
        <v>0</v>
      </c>
      <c r="E13" s="20" t="str">
        <f t="shared" si="0"/>
        <v>N/A</v>
      </c>
    </row>
    <row r="14" spans="1:5" x14ac:dyDescent="0.3">
      <c r="B14" s="15"/>
      <c r="C14" s="21"/>
      <c r="D14" s="21"/>
      <c r="E14" s="22"/>
    </row>
    <row r="15" spans="1:5" x14ac:dyDescent="0.3">
      <c r="B15" s="24" t="s">
        <v>42</v>
      </c>
    </row>
    <row r="16" spans="1:5" x14ac:dyDescent="0.3">
      <c r="B16" s="17"/>
      <c r="C16" s="17" t="s">
        <v>43</v>
      </c>
      <c r="D16" s="17" t="s">
        <v>44</v>
      </c>
    </row>
    <row r="17" spans="2:8" x14ac:dyDescent="0.3">
      <c r="B17" s="10" t="s">
        <v>45</v>
      </c>
      <c r="C17" s="72"/>
      <c r="D17" s="28">
        <v>25</v>
      </c>
    </row>
    <row r="18" spans="2:8" x14ac:dyDescent="0.3">
      <c r="B18" s="75" t="s">
        <v>46</v>
      </c>
      <c r="C18" s="44">
        <v>0</v>
      </c>
      <c r="D18" s="43">
        <f>1/D17</f>
        <v>0.04</v>
      </c>
    </row>
    <row r="19" spans="2:8" x14ac:dyDescent="0.3">
      <c r="B19" s="76"/>
      <c r="C19" s="68">
        <v>0.03</v>
      </c>
      <c r="D19" s="26">
        <f>0.03*(1.03)^$D$17/((1.03^$D$17)-1)</f>
        <v>5.7427871039127817E-2</v>
      </c>
    </row>
    <row r="20" spans="2:8" x14ac:dyDescent="0.3">
      <c r="B20" s="77"/>
      <c r="C20" s="70">
        <f>Defaults!$B$9</f>
        <v>7.6799999999999993E-2</v>
      </c>
      <c r="D20" s="26">
        <f>C20*(1+C20)^$D$17/(((1+C20)^$D$17)-1)</f>
        <v>9.113152735905744E-2</v>
      </c>
    </row>
    <row r="21" spans="2:8" x14ac:dyDescent="0.3">
      <c r="B21" s="23"/>
      <c r="C21" s="25"/>
      <c r="D21" s="25"/>
    </row>
    <row r="22" spans="2:8" x14ac:dyDescent="0.3">
      <c r="B22" s="7" t="s">
        <v>47</v>
      </c>
    </row>
    <row r="23" spans="2:8" ht="28.8" x14ac:dyDescent="0.3">
      <c r="B23" s="17"/>
      <c r="C23" s="9" t="str">
        <f>_xlfn.CONCAT("Pre-Intervention (",Defaults!B7," $/MWh)")</f>
        <v>Pre-Intervention (2016 $/MWh)</v>
      </c>
      <c r="D23" s="9" t="str">
        <f>_xlfn.CONCAT("Post-Intervention (",Defaults!B7," $/MWh)")</f>
        <v>Post-Intervention (2016 $/MWh)</v>
      </c>
      <c r="E23" s="17" t="s">
        <v>36</v>
      </c>
    </row>
    <row r="24" spans="2:8" x14ac:dyDescent="0.3">
      <c r="B24" s="10" t="str">
        <f>_xlfn.CONCAT("Simple LCOE (",C18*100,"% cost of capital)")</f>
        <v>Simple LCOE (0% cost of capital)</v>
      </c>
      <c r="C24" s="27">
        <f>1000*($D18*C$9+C$10)/(C$7*8760*(SUM(Degradation!C$3:C$27)/$D$17))+C$11+C$12*C$13/1000</f>
        <v>44.387711195580081</v>
      </c>
      <c r="D24" s="27">
        <f>1000*($D18*D$9+D$10)/(D$7*8760*(SUM(Degradation!D$3:D$27)/$D$17))+D$11+D$12*D$13/1000</f>
        <v>44.387711195580081</v>
      </c>
      <c r="E24" s="20">
        <f t="shared" ref="E24:E26" si="1">IFERROR((C24-D24)/ABS(C24),"N/A")</f>
        <v>0</v>
      </c>
      <c r="G24" s="74">
        <f>D24-C24</f>
        <v>0</v>
      </c>
      <c r="H24" s="74"/>
    </row>
    <row r="25" spans="2:8" x14ac:dyDescent="0.3">
      <c r="B25" s="10" t="str">
        <f>_xlfn.CONCAT("Simple LCOE (",C19*100,"% cost of capital)")</f>
        <v>Simple LCOE (3% cost of capital)</v>
      </c>
      <c r="C25" s="27">
        <f>1000*($D19*C$9+C$10)/(C$7*8760*(SUM(Degradation!C$3:C$27)/$D$17))+C$11+C$12*C$13/1000</f>
        <v>55.721890600403327</v>
      </c>
      <c r="D25" s="27">
        <f>1000*($D19*D$9+D$10)/(D$7*8760*(SUM(Degradation!D$3:D$27)/$D$17))+D$11+D$12*D$13/1000</f>
        <v>55.721890600403327</v>
      </c>
      <c r="E25" s="20">
        <f t="shared" si="1"/>
        <v>0</v>
      </c>
      <c r="G25" s="74"/>
      <c r="H25" s="74"/>
    </row>
    <row r="26" spans="2:8" x14ac:dyDescent="0.3">
      <c r="B26" s="10" t="str">
        <f>_xlfn.CONCAT("Simple LCOE (",C20*100,"% cost of capital)")</f>
        <v>Simple LCOE (7.68% cost of capital)</v>
      </c>
      <c r="C26" s="27">
        <f>1000*($D20*C$9+C$10)/(C$7*8760*(SUM(Degradation!C$3:C$27)/$D$17))+C$11+C$12*C$13/1000</f>
        <v>77.640992851673204</v>
      </c>
      <c r="D26" s="27">
        <f>1000*($D20*D$9+D$10)/(D$7*8760*(SUM(Degradation!D$3:D$27)/$D$17))+D$11+D$12*D$13/1000</f>
        <v>77.640992851673204</v>
      </c>
      <c r="E26" s="20">
        <f t="shared" si="1"/>
        <v>0</v>
      </c>
      <c r="H26" s="74"/>
    </row>
    <row r="27" spans="2:8" x14ac:dyDescent="0.3">
      <c r="G27" s="74"/>
    </row>
  </sheetData>
  <mergeCells count="3">
    <mergeCell ref="B18:B20"/>
    <mergeCell ref="B2:D2"/>
    <mergeCell ref="B3:D3"/>
  </mergeCells>
  <conditionalFormatting sqref="B7:B12 B21 B17:B18 C17:C20">
    <cfRule type="expression" dxfId="1" priority="7">
      <formula>$C$11="Other"</formula>
    </cfRule>
  </conditionalFormatting>
  <conditionalFormatting sqref="B24:B26">
    <cfRule type="expression" dxfId="0" priority="6">
      <formula>$C$11="Other"</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A8842-866E-4DE0-85DB-EF2D9E975FFD}">
  <sheetPr codeName="Sheet6"/>
  <dimension ref="B2:P37"/>
  <sheetViews>
    <sheetView showGridLines="0" topLeftCell="A7" zoomScaleNormal="100" workbookViewId="0">
      <selection activeCell="K13" sqref="K13"/>
    </sheetView>
  </sheetViews>
  <sheetFormatPr defaultColWidth="8.6640625" defaultRowHeight="14.4" x14ac:dyDescent="0.3"/>
  <cols>
    <col min="2" max="2" width="33.44140625" customWidth="1"/>
    <col min="3" max="8" width="16.44140625" customWidth="1"/>
    <col min="9" max="14" width="17.109375" customWidth="1"/>
    <col min="15" max="15" width="18.6640625" customWidth="1"/>
  </cols>
  <sheetData>
    <row r="2" spans="2:16" x14ac:dyDescent="0.3">
      <c r="C2" s="66"/>
      <c r="D2" s="13" t="s">
        <v>48</v>
      </c>
    </row>
    <row r="3" spans="2:16" x14ac:dyDescent="0.3">
      <c r="C3" s="23"/>
      <c r="D3" s="13"/>
    </row>
    <row r="4" spans="2:16" x14ac:dyDescent="0.3">
      <c r="B4" t="s">
        <v>49</v>
      </c>
      <c r="D4" s="13"/>
    </row>
    <row r="5" spans="2:16" x14ac:dyDescent="0.3">
      <c r="B5" s="66">
        <v>2019</v>
      </c>
      <c r="C5" s="67" t="s">
        <v>50</v>
      </c>
      <c r="D5" s="13"/>
    </row>
    <row r="6" spans="2:16" x14ac:dyDescent="0.3">
      <c r="B6" t="s">
        <v>51</v>
      </c>
      <c r="C6" s="67"/>
      <c r="D6" s="13"/>
    </row>
    <row r="7" spans="2:16" x14ac:dyDescent="0.3">
      <c r="B7" s="66">
        <v>2016</v>
      </c>
      <c r="C7" s="23"/>
      <c r="D7" s="13"/>
    </row>
    <row r="8" spans="2:16" x14ac:dyDescent="0.3">
      <c r="B8" t="s">
        <v>52</v>
      </c>
      <c r="C8" s="23"/>
      <c r="D8" s="13"/>
    </row>
    <row r="9" spans="2:16" x14ac:dyDescent="0.3">
      <c r="B9" s="71">
        <f>AVERAGE(7.68%,7.81%,7.55%)</f>
        <v>7.6799999999999993E-2</v>
      </c>
      <c r="C9" s="73" t="s">
        <v>53</v>
      </c>
      <c r="D9" s="13"/>
    </row>
    <row r="10" spans="2:16" ht="28.8" x14ac:dyDescent="0.3">
      <c r="B10" t="s">
        <v>54</v>
      </c>
      <c r="O10" s="69" t="s">
        <v>55</v>
      </c>
    </row>
    <row r="11" spans="2:16" ht="28.8" x14ac:dyDescent="0.3">
      <c r="B11" s="9" t="s">
        <v>56</v>
      </c>
      <c r="C11" s="9" t="s">
        <v>57</v>
      </c>
      <c r="D11" s="9" t="s">
        <v>58</v>
      </c>
      <c r="E11" s="9" t="s">
        <v>59</v>
      </c>
      <c r="F11" s="9" t="s">
        <v>60</v>
      </c>
      <c r="G11" s="9" t="s">
        <v>61</v>
      </c>
      <c r="H11" s="9" t="s">
        <v>62</v>
      </c>
      <c r="I11" s="9" t="s">
        <v>17</v>
      </c>
      <c r="J11" s="9" t="s">
        <v>63</v>
      </c>
      <c r="K11" s="9" t="s">
        <v>64</v>
      </c>
      <c r="L11" s="9" t="s">
        <v>65</v>
      </c>
      <c r="M11" s="9" t="s">
        <v>66</v>
      </c>
      <c r="N11" s="9" t="s">
        <v>67</v>
      </c>
      <c r="O11" s="9" t="s">
        <v>68</v>
      </c>
      <c r="P11" s="9" t="s">
        <v>69</v>
      </c>
    </row>
    <row r="12" spans="2:16" x14ac:dyDescent="0.3">
      <c r="B12" s="10" t="s">
        <v>28</v>
      </c>
      <c r="C12" s="55">
        <v>0.17</v>
      </c>
      <c r="D12" s="55">
        <v>0.2</v>
      </c>
      <c r="E12" s="55">
        <v>0.33</v>
      </c>
      <c r="F12" s="55">
        <v>0.33</v>
      </c>
      <c r="G12" s="55">
        <v>0.36399999999999999</v>
      </c>
      <c r="H12" s="55">
        <v>0.45</v>
      </c>
      <c r="I12" s="55">
        <v>0.15</v>
      </c>
      <c r="J12" s="55">
        <v>0.15</v>
      </c>
      <c r="K12" s="55">
        <v>0.15</v>
      </c>
      <c r="L12" s="55">
        <v>0.9</v>
      </c>
      <c r="M12" s="55">
        <v>0.9</v>
      </c>
      <c r="N12" s="55">
        <v>0.6</v>
      </c>
      <c r="O12" s="55">
        <v>0.9</v>
      </c>
      <c r="P12" s="39" t="s">
        <v>70</v>
      </c>
    </row>
    <row r="13" spans="2:16" x14ac:dyDescent="0.3">
      <c r="B13" s="10" t="s">
        <v>29</v>
      </c>
      <c r="C13" s="41">
        <v>5.0000000000000001E-3</v>
      </c>
      <c r="D13" s="41">
        <v>5.0000000000000001E-3</v>
      </c>
      <c r="E13" s="41">
        <v>5.0000000000000001E-3</v>
      </c>
      <c r="F13" s="41">
        <v>5.0000000000000001E-3</v>
      </c>
      <c r="G13" s="41">
        <v>0</v>
      </c>
      <c r="H13" s="41">
        <v>0</v>
      </c>
      <c r="I13" s="41">
        <v>5.0000000000000001E-3</v>
      </c>
      <c r="J13" s="41">
        <v>5.0000000000000001E-3</v>
      </c>
      <c r="K13" s="41">
        <v>5.0000000000000001E-3</v>
      </c>
      <c r="L13" s="41">
        <v>0</v>
      </c>
      <c r="M13" s="41">
        <v>0</v>
      </c>
      <c r="N13" s="41">
        <v>0</v>
      </c>
      <c r="O13" s="41">
        <v>0</v>
      </c>
      <c r="P13" s="39" t="s">
        <v>70</v>
      </c>
    </row>
    <row r="14" spans="2:16" x14ac:dyDescent="0.3">
      <c r="B14" s="10" t="s">
        <v>30</v>
      </c>
      <c r="C14" s="40">
        <v>5105.7596332051226</v>
      </c>
      <c r="D14" s="40">
        <v>3458.957695139793</v>
      </c>
      <c r="E14" s="40">
        <v>2400.2878125450698</v>
      </c>
      <c r="F14" s="40">
        <v>7872.2074955585458</v>
      </c>
      <c r="G14" s="40">
        <v>1622.3567730537618</v>
      </c>
      <c r="H14" s="40">
        <v>5757.0737935527468</v>
      </c>
      <c r="I14" s="40">
        <v>225.61</v>
      </c>
      <c r="J14" s="40">
        <v>289.33333333333331</v>
      </c>
      <c r="K14" s="58">
        <v>1374</v>
      </c>
      <c r="L14" s="58">
        <v>5127.3428766488341</v>
      </c>
      <c r="M14" s="58">
        <v>3970.3582800461068</v>
      </c>
      <c r="N14" s="58">
        <v>5724.4418626522865</v>
      </c>
      <c r="O14" s="58">
        <v>10004.580000000002</v>
      </c>
      <c r="P14" s="39" t="s">
        <v>70</v>
      </c>
    </row>
    <row r="15" spans="2:16" x14ac:dyDescent="0.3">
      <c r="B15" s="10" t="s">
        <v>31</v>
      </c>
      <c r="C15" s="40">
        <v>30.634557799230738</v>
      </c>
      <c r="D15" s="40">
        <v>24.212703865978551</v>
      </c>
      <c r="E15" s="40">
        <v>18.942362196577111</v>
      </c>
      <c r="F15" s="40">
        <v>66.842211869556408</v>
      </c>
      <c r="G15" s="40">
        <v>51.330986695928573</v>
      </c>
      <c r="H15" s="40">
        <v>115.78338339232762</v>
      </c>
      <c r="I15" s="40">
        <v>0.89241176470588235</v>
      </c>
      <c r="J15" s="40">
        <v>9.2586666666666666</v>
      </c>
      <c r="K15" s="58">
        <v>10.992000000000001</v>
      </c>
      <c r="L15" s="58">
        <v>144.85899999999998</v>
      </c>
      <c r="M15" s="58">
        <v>109.84329089128306</v>
      </c>
      <c r="N15" s="58">
        <v>113.19709747779299</v>
      </c>
      <c r="O15" s="58">
        <v>442</v>
      </c>
      <c r="P15" s="39" t="s">
        <v>70</v>
      </c>
    </row>
    <row r="16" spans="2:16" x14ac:dyDescent="0.3">
      <c r="B16" s="10" t="s">
        <v>32</v>
      </c>
      <c r="C16" s="40">
        <v>0</v>
      </c>
      <c r="D16" s="40">
        <v>0</v>
      </c>
      <c r="E16" s="40">
        <v>0</v>
      </c>
      <c r="F16" s="40">
        <v>0</v>
      </c>
      <c r="G16" s="40">
        <v>0</v>
      </c>
      <c r="H16" s="40">
        <v>0</v>
      </c>
      <c r="I16" s="40">
        <v>0</v>
      </c>
      <c r="J16" s="40">
        <v>0</v>
      </c>
      <c r="K16" s="58">
        <v>0</v>
      </c>
      <c r="L16" s="58">
        <v>0</v>
      </c>
      <c r="M16" s="58">
        <v>5</v>
      </c>
      <c r="N16" s="58">
        <v>0</v>
      </c>
      <c r="O16" s="58">
        <v>0</v>
      </c>
      <c r="P16" s="39" t="s">
        <v>70</v>
      </c>
    </row>
    <row r="17" spans="2:16" x14ac:dyDescent="0.3">
      <c r="B17" s="10" t="s">
        <v>33</v>
      </c>
      <c r="C17" s="40">
        <v>0</v>
      </c>
      <c r="D17" s="40">
        <v>0</v>
      </c>
      <c r="E17" s="40">
        <v>0</v>
      </c>
      <c r="F17" s="40">
        <v>0</v>
      </c>
      <c r="G17" s="40">
        <v>0</v>
      </c>
      <c r="H17" s="40">
        <v>0</v>
      </c>
      <c r="I17" s="40">
        <v>0</v>
      </c>
      <c r="J17" s="40">
        <v>0</v>
      </c>
      <c r="K17" s="58">
        <v>0</v>
      </c>
      <c r="L17" s="58">
        <v>0</v>
      </c>
      <c r="M17" s="58">
        <v>3</v>
      </c>
      <c r="N17" s="58">
        <v>0</v>
      </c>
      <c r="O17" s="58">
        <v>-5</v>
      </c>
      <c r="P17" s="39" t="s">
        <v>70</v>
      </c>
    </row>
    <row r="18" spans="2:16" x14ac:dyDescent="0.3">
      <c r="B18" s="10" t="s">
        <v>34</v>
      </c>
      <c r="C18" s="56"/>
      <c r="D18" s="56"/>
      <c r="E18" s="56"/>
      <c r="F18" s="56"/>
      <c r="G18" s="56"/>
      <c r="H18" s="56"/>
      <c r="I18" s="56"/>
      <c r="J18" s="56"/>
      <c r="K18" s="57"/>
      <c r="L18" s="57"/>
      <c r="M18" s="57">
        <v>13500</v>
      </c>
      <c r="N18" s="57"/>
      <c r="O18" s="57">
        <v>10000</v>
      </c>
      <c r="P18" s="39" t="s">
        <v>70</v>
      </c>
    </row>
    <row r="20" spans="2:16" x14ac:dyDescent="0.3">
      <c r="B20" t="s">
        <v>71</v>
      </c>
    </row>
    <row r="21" spans="2:16" ht="28.8" x14ac:dyDescent="0.3">
      <c r="B21" s="9" t="s">
        <v>56</v>
      </c>
      <c r="C21" s="9" t="s">
        <v>17</v>
      </c>
      <c r="D21" s="9" t="s">
        <v>63</v>
      </c>
      <c r="E21" s="9" t="s">
        <v>64</v>
      </c>
    </row>
    <row r="22" spans="2:16" x14ac:dyDescent="0.3">
      <c r="B22" s="10" t="s">
        <v>72</v>
      </c>
      <c r="C22" s="58">
        <v>312.91617647058825</v>
      </c>
      <c r="D22" s="58">
        <v>644.75490196078442</v>
      </c>
      <c r="E22" s="58">
        <v>246</v>
      </c>
    </row>
    <row r="23" spans="2:16" x14ac:dyDescent="0.3">
      <c r="B23" s="10" t="s">
        <v>73</v>
      </c>
      <c r="C23" s="58">
        <v>4.6937426470588237</v>
      </c>
      <c r="D23" s="58">
        <v>20.632156862745102</v>
      </c>
      <c r="E23" s="58">
        <v>1.968</v>
      </c>
    </row>
    <row r="24" spans="2:16" x14ac:dyDescent="0.3">
      <c r="B24" s="15"/>
      <c r="C24" s="65"/>
      <c r="D24" s="65"/>
      <c r="E24" s="65"/>
    </row>
    <row r="25" spans="2:16" x14ac:dyDescent="0.3">
      <c r="B25" s="23" t="s">
        <v>74</v>
      </c>
      <c r="C25" s="65"/>
      <c r="D25" s="65"/>
      <c r="E25" s="65"/>
    </row>
    <row r="26" spans="2:16" ht="28.8" x14ac:dyDescent="0.3">
      <c r="B26" s="9" t="s">
        <v>56</v>
      </c>
      <c r="C26" s="9" t="s">
        <v>63</v>
      </c>
      <c r="D26" s="65"/>
      <c r="E26" s="9" t="s">
        <v>75</v>
      </c>
    </row>
    <row r="27" spans="2:16" ht="28.8" x14ac:dyDescent="0.3">
      <c r="B27" s="46" t="s">
        <v>76</v>
      </c>
      <c r="C27" s="61">
        <v>200</v>
      </c>
      <c r="D27" s="65"/>
      <c r="E27" s="62">
        <v>4</v>
      </c>
    </row>
    <row r="29" spans="2:16" x14ac:dyDescent="0.3">
      <c r="B29" t="s">
        <v>77</v>
      </c>
    </row>
    <row r="30" spans="2:16" ht="28.8" x14ac:dyDescent="0.3">
      <c r="B30" s="9" t="s">
        <v>56</v>
      </c>
      <c r="C30" s="9" t="s">
        <v>17</v>
      </c>
      <c r="D30" s="9" t="s">
        <v>63</v>
      </c>
      <c r="E30" s="9" t="s">
        <v>64</v>
      </c>
    </row>
    <row r="31" spans="2:16" x14ac:dyDescent="0.3">
      <c r="B31" s="10" t="s">
        <v>28</v>
      </c>
      <c r="C31" s="59">
        <f>I12</f>
        <v>0.15</v>
      </c>
      <c r="D31" s="59">
        <f>J12</f>
        <v>0.15</v>
      </c>
      <c r="E31" s="59">
        <f>K12</f>
        <v>0.15</v>
      </c>
    </row>
    <row r="32" spans="2:16" x14ac:dyDescent="0.3">
      <c r="B32" s="10" t="s">
        <v>29</v>
      </c>
      <c r="C32" s="60">
        <f t="shared" ref="C32:D32" si="0">I13</f>
        <v>5.0000000000000001E-3</v>
      </c>
      <c r="D32" s="60">
        <f t="shared" si="0"/>
        <v>5.0000000000000001E-3</v>
      </c>
      <c r="E32" s="60">
        <f>K13</f>
        <v>5.0000000000000001E-3</v>
      </c>
    </row>
    <row r="33" spans="2:5" x14ac:dyDescent="0.3">
      <c r="B33" s="10" t="s">
        <v>30</v>
      </c>
      <c r="C33" s="63">
        <f t="shared" ref="C33:E34" si="1">I14+$E$27*C22</f>
        <v>1477.2747058823529</v>
      </c>
      <c r="D33" s="63">
        <f t="shared" si="1"/>
        <v>2868.3529411764712</v>
      </c>
      <c r="E33" s="63">
        <f t="shared" si="1"/>
        <v>2358</v>
      </c>
    </row>
    <row r="34" spans="2:5" x14ac:dyDescent="0.3">
      <c r="B34" s="10" t="s">
        <v>31</v>
      </c>
      <c r="C34" s="63">
        <f t="shared" si="1"/>
        <v>19.667382352941178</v>
      </c>
      <c r="D34" s="63">
        <f t="shared" si="1"/>
        <v>91.787294117647079</v>
      </c>
      <c r="E34" s="63">
        <f t="shared" si="1"/>
        <v>18.864000000000001</v>
      </c>
    </row>
    <row r="35" spans="2:5" x14ac:dyDescent="0.3">
      <c r="B35" s="10" t="s">
        <v>32</v>
      </c>
      <c r="C35" s="63">
        <f>I16</f>
        <v>0</v>
      </c>
      <c r="D35" s="63">
        <f>J16+C27</f>
        <v>200</v>
      </c>
      <c r="E35" s="61">
        <f>K16</f>
        <v>0</v>
      </c>
    </row>
    <row r="36" spans="2:5" x14ac:dyDescent="0.3">
      <c r="B36" s="10" t="s">
        <v>33</v>
      </c>
      <c r="C36" s="63">
        <f t="shared" ref="C36:D36" si="2">I17</f>
        <v>0</v>
      </c>
      <c r="D36" s="63">
        <f t="shared" si="2"/>
        <v>0</v>
      </c>
      <c r="E36" s="61">
        <f>K17</f>
        <v>0</v>
      </c>
    </row>
    <row r="37" spans="2:5" x14ac:dyDescent="0.3">
      <c r="B37" s="10" t="s">
        <v>34</v>
      </c>
      <c r="C37" s="64">
        <f t="shared" ref="C37:D37" si="3">I18</f>
        <v>0</v>
      </c>
      <c r="D37" s="64">
        <f t="shared" si="3"/>
        <v>0</v>
      </c>
      <c r="E37" s="62">
        <f>K18</f>
        <v>0</v>
      </c>
    </row>
  </sheetData>
  <hyperlinks>
    <hyperlink ref="C5" r:id="rId1" xr:uid="{A542820A-26BF-4F52-B974-594F9996B305}"/>
    <hyperlink ref="C9" r:id="rId2" xr:uid="{14382038-55D7-4E57-839D-6021D057430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6EF25-D9FC-410A-AA48-98FF51F096BA}">
  <dimension ref="B2:D27"/>
  <sheetViews>
    <sheetView showGridLines="0" workbookViewId="0">
      <selection activeCell="D4" sqref="D4"/>
    </sheetView>
  </sheetViews>
  <sheetFormatPr defaultColWidth="8.6640625" defaultRowHeight="14.4" x14ac:dyDescent="0.3"/>
  <cols>
    <col min="1" max="1" width="5" customWidth="1"/>
    <col min="3" max="3" width="19.6640625" customWidth="1"/>
    <col min="4" max="4" width="20" customWidth="1"/>
  </cols>
  <sheetData>
    <row r="2" spans="2:4" ht="28.8" x14ac:dyDescent="0.3">
      <c r="B2" s="9" t="s">
        <v>78</v>
      </c>
      <c r="C2" s="9" t="s">
        <v>79</v>
      </c>
      <c r="D2" s="9" t="s">
        <v>80</v>
      </c>
    </row>
    <row r="3" spans="2:4" x14ac:dyDescent="0.3">
      <c r="B3" s="10">
        <v>1</v>
      </c>
      <c r="C3" s="44">
        <f>(1-RESULTS!C$8)^($B3-1)</f>
        <v>1</v>
      </c>
      <c r="D3" s="44">
        <f>(1-RESULTS!D$8)^($B3-1)</f>
        <v>1</v>
      </c>
    </row>
    <row r="4" spans="2:4" x14ac:dyDescent="0.3">
      <c r="B4" s="10">
        <v>2</v>
      </c>
      <c r="C4" s="44">
        <f>(1-RESULTS!C$8)^($B4-1)</f>
        <v>1</v>
      </c>
      <c r="D4" s="44">
        <f>(1-RESULTS!D$8)^($B4-1)</f>
        <v>1</v>
      </c>
    </row>
    <row r="5" spans="2:4" x14ac:dyDescent="0.3">
      <c r="B5" s="10">
        <v>3</v>
      </c>
      <c r="C5" s="44">
        <f>(1-RESULTS!C$8)^($B5-1)</f>
        <v>1</v>
      </c>
      <c r="D5" s="44">
        <f>(1-RESULTS!D$8)^($B5-1)</f>
        <v>1</v>
      </c>
    </row>
    <row r="6" spans="2:4" x14ac:dyDescent="0.3">
      <c r="B6" s="10">
        <v>4</v>
      </c>
      <c r="C6" s="44">
        <f>(1-RESULTS!C$8)^($B6-1)</f>
        <v>1</v>
      </c>
      <c r="D6" s="44">
        <f>(1-RESULTS!D$8)^($B6-1)</f>
        <v>1</v>
      </c>
    </row>
    <row r="7" spans="2:4" x14ac:dyDescent="0.3">
      <c r="B7" s="10">
        <v>5</v>
      </c>
      <c r="C7" s="44">
        <f>(1-RESULTS!C$8)^($B7-1)</f>
        <v>1</v>
      </c>
      <c r="D7" s="44">
        <f>(1-RESULTS!D$8)^($B7-1)</f>
        <v>1</v>
      </c>
    </row>
    <row r="8" spans="2:4" x14ac:dyDescent="0.3">
      <c r="B8" s="10">
        <v>6</v>
      </c>
      <c r="C8" s="44">
        <f>(1-RESULTS!C$8)^($B8-1)</f>
        <v>1</v>
      </c>
      <c r="D8" s="44">
        <f>(1-RESULTS!D$8)^($B8-1)</f>
        <v>1</v>
      </c>
    </row>
    <row r="9" spans="2:4" x14ac:dyDescent="0.3">
      <c r="B9" s="10">
        <v>7</v>
      </c>
      <c r="C9" s="44">
        <f>(1-RESULTS!C$8)^($B9-1)</f>
        <v>1</v>
      </c>
      <c r="D9" s="44">
        <f>(1-RESULTS!D$8)^($B9-1)</f>
        <v>1</v>
      </c>
    </row>
    <row r="10" spans="2:4" x14ac:dyDescent="0.3">
      <c r="B10" s="10">
        <v>8</v>
      </c>
      <c r="C10" s="44">
        <f>(1-RESULTS!C$8)^($B10-1)</f>
        <v>1</v>
      </c>
      <c r="D10" s="44">
        <f>(1-RESULTS!D$8)^($B10-1)</f>
        <v>1</v>
      </c>
    </row>
    <row r="11" spans="2:4" x14ac:dyDescent="0.3">
      <c r="B11" s="10">
        <v>9</v>
      </c>
      <c r="C11" s="44">
        <f>(1-RESULTS!C$8)^($B11-1)</f>
        <v>1</v>
      </c>
      <c r="D11" s="44">
        <f>(1-RESULTS!D$8)^($B11-1)</f>
        <v>1</v>
      </c>
    </row>
    <row r="12" spans="2:4" x14ac:dyDescent="0.3">
      <c r="B12" s="10">
        <v>10</v>
      </c>
      <c r="C12" s="44">
        <f>(1-RESULTS!C$8)^($B12-1)</f>
        <v>1</v>
      </c>
      <c r="D12" s="44">
        <f>(1-RESULTS!D$8)^($B12-1)</f>
        <v>1</v>
      </c>
    </row>
    <row r="13" spans="2:4" x14ac:dyDescent="0.3">
      <c r="B13" s="10">
        <v>11</v>
      </c>
      <c r="C13" s="44">
        <f>(1-RESULTS!C$8)^($B13-1)</f>
        <v>1</v>
      </c>
      <c r="D13" s="44">
        <f>(1-RESULTS!D$8)^($B13-1)</f>
        <v>1</v>
      </c>
    </row>
    <row r="14" spans="2:4" x14ac:dyDescent="0.3">
      <c r="B14" s="10">
        <v>12</v>
      </c>
      <c r="C14" s="44">
        <f>(1-RESULTS!C$8)^($B14-1)</f>
        <v>1</v>
      </c>
      <c r="D14" s="44">
        <f>(1-RESULTS!D$8)^($B14-1)</f>
        <v>1</v>
      </c>
    </row>
    <row r="15" spans="2:4" x14ac:dyDescent="0.3">
      <c r="B15" s="10">
        <v>13</v>
      </c>
      <c r="C15" s="44">
        <f>(1-RESULTS!C$8)^($B15-1)</f>
        <v>1</v>
      </c>
      <c r="D15" s="44">
        <f>(1-RESULTS!D$8)^($B15-1)</f>
        <v>1</v>
      </c>
    </row>
    <row r="16" spans="2:4" x14ac:dyDescent="0.3">
      <c r="B16" s="10">
        <v>14</v>
      </c>
      <c r="C16" s="44">
        <f>(1-RESULTS!C$8)^($B16-1)</f>
        <v>1</v>
      </c>
      <c r="D16" s="44">
        <f>(1-RESULTS!D$8)^($B16-1)</f>
        <v>1</v>
      </c>
    </row>
    <row r="17" spans="2:4" x14ac:dyDescent="0.3">
      <c r="B17" s="10">
        <v>15</v>
      </c>
      <c r="C17" s="44">
        <f>(1-RESULTS!C$8)^($B17-1)</f>
        <v>1</v>
      </c>
      <c r="D17" s="44">
        <f>(1-RESULTS!D$8)^($B17-1)</f>
        <v>1</v>
      </c>
    </row>
    <row r="18" spans="2:4" x14ac:dyDescent="0.3">
      <c r="B18" s="10">
        <v>16</v>
      </c>
      <c r="C18" s="44">
        <f>(1-RESULTS!C$8)^($B18-1)</f>
        <v>1</v>
      </c>
      <c r="D18" s="44">
        <f>(1-RESULTS!D$8)^($B18-1)</f>
        <v>1</v>
      </c>
    </row>
    <row r="19" spans="2:4" x14ac:dyDescent="0.3">
      <c r="B19" s="10">
        <v>17</v>
      </c>
      <c r="C19" s="44">
        <f>(1-RESULTS!C$8)^($B19-1)</f>
        <v>1</v>
      </c>
      <c r="D19" s="44">
        <f>(1-RESULTS!D$8)^($B19-1)</f>
        <v>1</v>
      </c>
    </row>
    <row r="20" spans="2:4" x14ac:dyDescent="0.3">
      <c r="B20" s="10">
        <v>18</v>
      </c>
      <c r="C20" s="44">
        <f>(1-RESULTS!C$8)^($B20-1)</f>
        <v>1</v>
      </c>
      <c r="D20" s="44">
        <f>(1-RESULTS!D$8)^($B20-1)</f>
        <v>1</v>
      </c>
    </row>
    <row r="21" spans="2:4" x14ac:dyDescent="0.3">
      <c r="B21" s="10">
        <v>19</v>
      </c>
      <c r="C21" s="44">
        <f>(1-RESULTS!C$8)^($B21-1)</f>
        <v>1</v>
      </c>
      <c r="D21" s="44">
        <f>(1-RESULTS!D$8)^($B21-1)</f>
        <v>1</v>
      </c>
    </row>
    <row r="22" spans="2:4" x14ac:dyDescent="0.3">
      <c r="B22" s="10">
        <v>20</v>
      </c>
      <c r="C22" s="44">
        <f>(1-RESULTS!C$8)^($B22-1)</f>
        <v>1</v>
      </c>
      <c r="D22" s="44">
        <f>(1-RESULTS!D$8)^($B22-1)</f>
        <v>1</v>
      </c>
    </row>
    <row r="23" spans="2:4" x14ac:dyDescent="0.3">
      <c r="B23" s="10">
        <v>21</v>
      </c>
      <c r="C23" s="44">
        <f>(1-RESULTS!C$8)^($B23-1)</f>
        <v>1</v>
      </c>
      <c r="D23" s="44">
        <f>(1-RESULTS!D$8)^($B23-1)</f>
        <v>1</v>
      </c>
    </row>
    <row r="24" spans="2:4" x14ac:dyDescent="0.3">
      <c r="B24" s="10">
        <v>22</v>
      </c>
      <c r="C24" s="44">
        <f>(1-RESULTS!C$8)^($B24-1)</f>
        <v>1</v>
      </c>
      <c r="D24" s="44">
        <f>(1-RESULTS!D$8)^($B24-1)</f>
        <v>1</v>
      </c>
    </row>
    <row r="25" spans="2:4" x14ac:dyDescent="0.3">
      <c r="B25" s="10">
        <v>23</v>
      </c>
      <c r="C25" s="44">
        <f>(1-RESULTS!C$8)^($B25-1)</f>
        <v>1</v>
      </c>
      <c r="D25" s="44">
        <f>(1-RESULTS!D$8)^($B25-1)</f>
        <v>1</v>
      </c>
    </row>
    <row r="26" spans="2:4" x14ac:dyDescent="0.3">
      <c r="B26" s="10">
        <v>24</v>
      </c>
      <c r="C26" s="44">
        <f>(1-RESULTS!C$8)^($B26-1)</f>
        <v>1</v>
      </c>
      <c r="D26" s="44">
        <f>(1-RESULTS!D$8)^($B26-1)</f>
        <v>1</v>
      </c>
    </row>
    <row r="27" spans="2:4" x14ac:dyDescent="0.3">
      <c r="B27" s="10">
        <v>25</v>
      </c>
      <c r="C27" s="44">
        <f>(1-RESULTS!C$8)^($B27-1)</f>
        <v>1</v>
      </c>
      <c r="D27" s="44">
        <f>(1-RESULTS!D$8)^($B27-1)</f>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14417A7017ADF468E402EAFA86AA0D2" ma:contentTypeVersion="12" ma:contentTypeDescription="Create a new document." ma:contentTypeScope="" ma:versionID="d3beead5268dca30bda03eab44de8485">
  <xsd:schema xmlns:xsd="http://www.w3.org/2001/XMLSchema" xmlns:xs="http://www.w3.org/2001/XMLSchema" xmlns:p="http://schemas.microsoft.com/office/2006/metadata/properties" xmlns:ns2="912fd148-cb1f-4661-91c7-4c4c082c7ff0" xmlns:ns3="df8e3e37-2981-47c0-8654-1188118b911f" targetNamespace="http://schemas.microsoft.com/office/2006/metadata/properties" ma:root="true" ma:fieldsID="8fad3465efd5711c7cf40f415f99315d" ns2:_="" ns3:_="">
    <xsd:import namespace="912fd148-cb1f-4661-91c7-4c4c082c7ff0"/>
    <xsd:import namespace="df8e3e37-2981-47c0-8654-1188118b911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2fd148-cb1f-4661-91c7-4c4c082c7f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8e3e37-2981-47c0-8654-1188118b911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EB8EA5-4241-4C61-9B3C-AF2591C90895}">
  <ds:schemaRefs>
    <ds:schemaRef ds:uri="http://schemas.microsoft.com/sharepoint/v3/contenttype/forms"/>
  </ds:schemaRefs>
</ds:datastoreItem>
</file>

<file path=customXml/itemProps2.xml><?xml version="1.0" encoding="utf-8"?>
<ds:datastoreItem xmlns:ds="http://schemas.openxmlformats.org/officeDocument/2006/customXml" ds:itemID="{A092D715-7E40-4D17-A7E7-F7A6C7D257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2fd148-cb1f-4661-91c7-4c4c082c7ff0"/>
    <ds:schemaRef ds:uri="df8e3e37-2981-47c0-8654-1188118b91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617332-8AF7-4173-8E1A-88A92552FE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General inputs</vt:lpstr>
      <vt:lpstr>RESULTS</vt:lpstr>
      <vt:lpstr>Defaults</vt:lpstr>
      <vt:lpstr>Degradation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Goldstein</dc:creator>
  <cp:keywords/>
  <dc:description/>
  <cp:lastModifiedBy>Michael Freeman</cp:lastModifiedBy>
  <cp:revision/>
  <dcterms:created xsi:type="dcterms:W3CDTF">2019-11-21T21:40:19Z</dcterms:created>
  <dcterms:modified xsi:type="dcterms:W3CDTF">2020-11-01T15:36:38Z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0x010100814417A7017ADF468E402EAFA86AA0D2</vt:lpwstr>
  </property>
  <property fmtid="{D5CDD505-2E9C-101B-9397-08002B2CF9AE}" pid="3" name="{A44787D4-0540-4523-9961-78E4036D8C6D}">
    <vt:lpwstr>{057EC4F5-DDBE-4298-8556-CEDC94905761}</vt:lpwstr>
  </property>
</Properties>
</file>